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480" windowHeight="11265" tabRatio="563"/>
  </bookViews>
  <sheets>
    <sheet name="бюджет 2020" sheetId="1" r:id="rId1"/>
  </sheets>
  <definedNames>
    <definedName name="_xlnm._FilterDatabase" localSheetId="0" hidden="1">'бюджет 2020'!$A$13:$Q$199</definedName>
    <definedName name="Z_01DC40C6_C2E3_4C2A_99FF_2CD39721FC8A_.wvu.FilterData" localSheetId="0" hidden="1">'бюджет 2020'!$S$1:$S$303</definedName>
    <definedName name="Z_053FFE79_5B42_4807_9924_A02379E1D276_.wvu.FilterData" localSheetId="0" hidden="1">'бюджет 2020'!$A$5:$Q$199</definedName>
    <definedName name="Z_06FF5501_5BE6_45D4_84C0_1F7A9796CFE0_.wvu.FilterData" localSheetId="0" hidden="1">'бюджет 2020'!$A$12:$Q$199</definedName>
    <definedName name="Z_06FF5501_5BE6_45D4_84C0_1F7A9796CFE0_.wvu.PrintArea" localSheetId="0" hidden="1">'бюджет 2020'!$A$1:$Q$202</definedName>
    <definedName name="Z_06FF5501_5BE6_45D4_84C0_1F7A9796CFE0_.wvu.PrintTitles" localSheetId="0" hidden="1">'бюджет 2020'!$9:$12</definedName>
    <definedName name="Z_08BC6EC6_462D_4192_BA8A_98B9E6B2E97F_.wvu.Cols" localSheetId="0" hidden="1">'бюджет 2020'!$P:$P</definedName>
    <definedName name="Z_08BC6EC6_462D_4192_BA8A_98B9E6B2E97F_.wvu.FilterData" localSheetId="0" hidden="1">'бюджет 2020'!$A$5:$Q$199</definedName>
    <definedName name="Z_08BC6EC6_462D_4192_BA8A_98B9E6B2E97F_.wvu.PrintArea" localSheetId="0" hidden="1">'бюджет 2020'!$A$1:$Q$202</definedName>
    <definedName name="Z_08BC6EC6_462D_4192_BA8A_98B9E6B2E97F_.wvu.PrintTitles" localSheetId="0" hidden="1">'бюджет 2020'!$9:$12</definedName>
    <definedName name="Z_0EF41CEA_3DEB_4F45_9D74_EBB564ADBF1C_.wvu.FilterData" localSheetId="0" hidden="1">'бюджет 2020'!$T$15:$T$202</definedName>
    <definedName name="Z_0F2916D3_0D3B_4FCE_8F3B_8E9408546A8F_.wvu.FilterData" localSheetId="0" hidden="1">'бюджет 2020'!$14:$199</definedName>
    <definedName name="Z_118ABD37_1ACF_4730_AF1D_1B75EE1E1D59_.wvu.FilterData" localSheetId="0" hidden="1">'бюджет 2020'!$A$13:$Q$199</definedName>
    <definedName name="Z_15BF0925_5554_4B22_865B_5EE3CC1FCC70_.wvu.FilterData" localSheetId="0" hidden="1">'бюджет 2020'!$14:$199</definedName>
    <definedName name="Z_176FFD79_3952_4CE8_94CC_58172C02DA4B_.wvu.FilterData" localSheetId="0" hidden="1">'бюджет 2020'!$A$5:$Q$199</definedName>
    <definedName name="Z_1AD68B34_D8A8_454A_BD45_658779DEFC89_.wvu.FilterData" localSheetId="0" hidden="1">'бюджет 2020'!$A$13:$Q$199</definedName>
    <definedName name="Z_1BE18226_0870_49E8_914C_DFF78740CBE0_.wvu.FilterData" localSheetId="0" hidden="1">'бюджет 2020'!$T$15:$T$202</definedName>
    <definedName name="Z_1D8128F6_B435_44FF_A037_9BD54EFEFDCB_.wvu.Cols" localSheetId="0" hidden="1">'бюджет 2020'!$P:$P</definedName>
    <definedName name="Z_1D8128F6_B435_44FF_A037_9BD54EFEFDCB_.wvu.FilterData" localSheetId="0" hidden="1">'бюджет 2020'!$A$13:$Q$199</definedName>
    <definedName name="Z_1D8128F6_B435_44FF_A037_9BD54EFEFDCB_.wvu.PrintArea" localSheetId="0" hidden="1">'бюджет 2020'!$A$1:$Q$202</definedName>
    <definedName name="Z_1D8128F6_B435_44FF_A037_9BD54EFEFDCB_.wvu.PrintTitles" localSheetId="0" hidden="1">'бюджет 2020'!$9:$12</definedName>
    <definedName name="Z_1E0CB623_BE32_4EEC_83B5_44273C93F43A_.wvu.Cols" localSheetId="0" hidden="1">'бюджет 2020'!$P:$P</definedName>
    <definedName name="Z_1E0CB623_BE32_4EEC_83B5_44273C93F43A_.wvu.FilterData" localSheetId="0" hidden="1">'бюджет 2020'!$T$15:$T$202</definedName>
    <definedName name="Z_1E0CB623_BE32_4EEC_83B5_44273C93F43A_.wvu.PrintArea" localSheetId="0" hidden="1">'бюджет 2020'!$A$1:$Q$202</definedName>
    <definedName name="Z_1E0CB623_BE32_4EEC_83B5_44273C93F43A_.wvu.PrintTitles" localSheetId="0" hidden="1">'бюджет 2020'!$9:$12</definedName>
    <definedName name="Z_1FBD8217_AD28_4F57_A882_EBCF64B7F0F9_.wvu.FilterData" localSheetId="0" hidden="1">'бюджет 2020'!$A$5:$Q$199</definedName>
    <definedName name="Z_212D2720_78ED_458C_A6E4_B5A122D75D2C_.wvu.FilterData" localSheetId="0" hidden="1">'бюджет 2020'!$A$12:$Q$199</definedName>
    <definedName name="Z_25D8C31A_D007_4DED_9D9E_A89A5E7F4BA2_.wvu.FilterData" localSheetId="0" hidden="1">'бюджет 2020'!$A$12:$Q$199</definedName>
    <definedName name="Z_264FD6DE_E755_4235_A2A8_B53F8DD6960D_.wvu.FilterData" localSheetId="0" hidden="1">'бюджет 2020'!$A$5:$Q$199</definedName>
    <definedName name="Z_26C5D710_598E_4AFE_BC8C_C2A25067AC2C_.wvu.FilterData" localSheetId="0" hidden="1">'бюджет 2020'!$A$5:$Q$199</definedName>
    <definedName name="Z_29DD72D9_9C75_437A_8B7D_778167BBD33E_.wvu.Cols" localSheetId="0" hidden="1">'бюджет 2020'!$P:$P</definedName>
    <definedName name="Z_29DD72D9_9C75_437A_8B7D_778167BBD33E_.wvu.FilterData" localSheetId="0" hidden="1">'бюджет 2020'!$T$15:$T$202</definedName>
    <definedName name="Z_29DD72D9_9C75_437A_8B7D_778167BBD33E_.wvu.PrintArea" localSheetId="0" hidden="1">'бюджет 2020'!$A$1:$Q$202</definedName>
    <definedName name="Z_29DD72D9_9C75_437A_8B7D_778167BBD33E_.wvu.PrintTitles" localSheetId="0" hidden="1">'бюджет 2020'!$9:$12</definedName>
    <definedName name="Z_2C58E98A_4ACE_42D1_86ED_AC46566B5E2A_.wvu.FilterData" localSheetId="0" hidden="1">'бюджет 2020'!$A$12:$Q$199</definedName>
    <definedName name="Z_2C58E98A_4ACE_42D1_86ED_AC46566B5E2A_.wvu.PrintArea" localSheetId="0" hidden="1">'бюджет 2020'!$A$1:$Q$202</definedName>
    <definedName name="Z_2C58E98A_4ACE_42D1_86ED_AC46566B5E2A_.wvu.PrintTitles" localSheetId="0" hidden="1">'бюджет 2020'!$9:$12</definedName>
    <definedName name="Z_2D3BA25F_BD20_425B_96AB_81F2F41D823E_.wvu.Rows" localSheetId="0" hidden="1">'бюджет 2020'!#REF!,'бюджет 2020'!#REF!,'бюджет 2020'!#REF!,'бюджет 2020'!#REF!,'бюджет 2020'!#REF!,'бюджет 2020'!#REF!,'бюджет 2020'!#REF!,'бюджет 2020'!#REF!,'бюджет 2020'!#REF!,'бюджет 2020'!#REF!,'бюджет 2020'!#REF!,'бюджет 2020'!#REF!</definedName>
    <definedName name="Z_336FFEA6_A8C2_40E0_B38D_B5CC1D6D13D4_.wvu.FilterData" localSheetId="0" hidden="1">'бюджет 2020'!$T$15:$T$202</definedName>
    <definedName name="Z_3763055B_ABF4_4D25_AECC_3A5E80A98775_.wvu.FilterData" localSheetId="0" hidden="1">'бюджет 2020'!$A$13:$Q$199</definedName>
    <definedName name="Z_393A1A8A_94C9_4590_907C_B8DF888B9F67_.wvu.FilterData" localSheetId="0" hidden="1">'бюджет 2020'!$T$15:$T$202</definedName>
    <definedName name="Z_398B9434_04D2_4536_8E65_52C6478EEC6B_.wvu.FilterData" localSheetId="0" hidden="1">'бюджет 2020'!$A$12:$Q$199</definedName>
    <definedName name="Z_398F3864_0D87_4E71_B074_A07F47242E63_.wvu.FilterData" localSheetId="0" hidden="1">'бюджет 2020'!$A$5:$Q$199</definedName>
    <definedName name="Z_3B13EDF0_F582_4700_A153_9DDB07891CE6_.wvu.FilterData" localSheetId="0" hidden="1">'бюджет 2020'!$T$15:$T$202</definedName>
    <definedName name="Z_3BCF9588_20CF_4B13_AA41_F2EDACEB330B_.wvu.Rows" localSheetId="0" hidden="1">'бюджет 2020'!#REF!</definedName>
    <definedName name="Z_3DC2ACD9_604C_4F2C_A6BC_D854E66C0A91_.wvu.FilterData" localSheetId="0" hidden="1">'бюджет 2020'!$A$5:$Q$199</definedName>
    <definedName name="Z_41D4C65F_3CC2_4491_986A_72A51C637155_.wvu.FilterData" localSheetId="0" hidden="1">'бюджет 2020'!$A$13:$Q$199</definedName>
    <definedName name="Z_4310BC2F_F841_48E2_9AFE_777A6EC592B4_.wvu.FilterData" localSheetId="0" hidden="1">'бюджет 2020'!$T$15:$T$202</definedName>
    <definedName name="Z_437B1C8C_9144_492F_A153_DC459B617A9A_.wvu.FilterData" localSheetId="0" hidden="1">'бюджет 2020'!$A$5:$Q$199</definedName>
    <definedName name="Z_465BD29E_DF98_40C1_A448_521E1312C017_.wvu.FilterData" localSheetId="0" hidden="1">'бюджет 2020'!$A$13:$Q$199</definedName>
    <definedName name="Z_4AE27128_ACCD_4425_AC41_03F0DDF91B3F_.wvu.FilterData" localSheetId="0" hidden="1">'бюджет 2020'!$A$13:$Q$199</definedName>
    <definedName name="Z_4DD8EC64_D55E_4739_A5C6_48C1EDC8976A_.wvu.FilterData" localSheetId="0" hidden="1">'бюджет 2020'!$A$5:$Q$199</definedName>
    <definedName name="Z_504E170D_7949_4124_9711_EC2155F3D0A8_.wvu.FilterData" localSheetId="0" hidden="1">'бюджет 2020'!$T$15:$T$202</definedName>
    <definedName name="Z_51D9AA6C_740C_4147_AD46_2243D1027153_.wvu.FilterData" localSheetId="0" hidden="1">'бюджет 2020'!$T$15:$T$202</definedName>
    <definedName name="Z_55C3F4C1_780C_49F7_A5ED_38837E4BD0D2_.wvu.Cols" localSheetId="0" hidden="1">'бюджет 2020'!$P:$P</definedName>
    <definedName name="Z_55C3F4C1_780C_49F7_A5ED_38837E4BD0D2_.wvu.FilterData" localSheetId="0" hidden="1">'бюджет 2020'!$A$13:$Q$199</definedName>
    <definedName name="Z_55C3F4C1_780C_49F7_A5ED_38837E4BD0D2_.wvu.PrintTitles" localSheetId="0" hidden="1">'бюджет 2020'!$9:$12</definedName>
    <definedName name="Z_5923C6A9_7ECE_41D6_A690_6FB804100128_.wvu.FilterData" localSheetId="0" hidden="1">'бюджет 2020'!$A$5:$Q$199</definedName>
    <definedName name="Z_5D060DE1_CC13_45C6_B427_3A50E6447880_.wvu.Cols" localSheetId="0" hidden="1">'бюджет 2020'!$P:$P</definedName>
    <definedName name="Z_5D060DE1_CC13_45C6_B427_3A50E6447880_.wvu.FilterData" localSheetId="0" hidden="1">'бюджет 2020'!$A$13:$Q$199</definedName>
    <definedName name="Z_5D060DE1_CC13_45C6_B427_3A50E6447880_.wvu.PrintTitles" localSheetId="0" hidden="1">'бюджет 2020'!$9:$12</definedName>
    <definedName name="Z_5D261502_6A5F_42DF_9961_90A2EC6BDFE8_.wvu.FilterData" localSheetId="0" hidden="1">'бюджет 2020'!$T$15:$T$202</definedName>
    <definedName name="Z_64E86EB7_ACAC_478B_BBA4_A43D8F0A05F7_.wvu.FilterData" localSheetId="0" hidden="1">'бюджет 2020'!$A$12:$Q$199</definedName>
    <definedName name="Z_64E86EB7_ACAC_478B_BBA4_A43D8F0A05F7_.wvu.PrintArea" localSheetId="0" hidden="1">'бюджет 2020'!$A$1:$Q$202</definedName>
    <definedName name="Z_64E86EB7_ACAC_478B_BBA4_A43D8F0A05F7_.wvu.PrintTitles" localSheetId="0" hidden="1">'бюджет 2020'!$9:$12</definedName>
    <definedName name="Z_6922F3C9_426B_40C5_BC7C_90FFDC39740C_.wvu.Cols" localSheetId="0" hidden="1">'бюджет 2020'!$P:$P</definedName>
    <definedName name="Z_6922F3C9_426B_40C5_BC7C_90FFDC39740C_.wvu.FilterData" localSheetId="0" hidden="1">'бюджет 2020'!$A$13:$Q$199</definedName>
    <definedName name="Z_6922F3C9_426B_40C5_BC7C_90FFDC39740C_.wvu.PrintTitles" localSheetId="0" hidden="1">'бюджет 2020'!$9:$12</definedName>
    <definedName name="Z_6DD45F55_A4E8_4BAE_A351_1BDE5409E801_.wvu.FilterData" localSheetId="0" hidden="1">'бюджет 2020'!$14:$199</definedName>
    <definedName name="Z_6FCD1BF2_2D63_48DF_A581_6B5169DF31E9_.wvu.FilterData" localSheetId="0" hidden="1">'бюджет 2020'!$A$5:$Q$199</definedName>
    <definedName name="Z_7139FC0C_A56B_4194_AB3C_57E5317AB09D_.wvu.FilterData" localSheetId="0" hidden="1">'бюджет 2020'!$A$12:$Q$199</definedName>
    <definedName name="Z_72281E9A_1074_405D_BEC9_F19F3AAF08DD_.wvu.Cols" localSheetId="0" hidden="1">'бюджет 2020'!$P:$P</definedName>
    <definedName name="Z_72281E9A_1074_405D_BEC9_F19F3AAF08DD_.wvu.FilterData" localSheetId="0" hidden="1">'бюджет 2020'!$A$13:$Q$199</definedName>
    <definedName name="Z_72281E9A_1074_405D_BEC9_F19F3AAF08DD_.wvu.PrintTitles" localSheetId="0" hidden="1">'бюджет 2020'!$9:$12</definedName>
    <definedName name="Z_728659FD_1117_4718_B24F_07C4CD2FAD84_.wvu.Cols" localSheetId="0" hidden="1">'бюджет 2020'!$P:$P</definedName>
    <definedName name="Z_728659FD_1117_4718_B24F_07C4CD2FAD84_.wvu.FilterData" localSheetId="0" hidden="1">'бюджет 2020'!$A$5:$Q$199</definedName>
    <definedName name="Z_728659FD_1117_4718_B24F_07C4CD2FAD84_.wvu.PrintArea" localSheetId="0" hidden="1">'бюджет 2020'!$A$1:$Q$202</definedName>
    <definedName name="Z_728659FD_1117_4718_B24F_07C4CD2FAD84_.wvu.PrintTitles" localSheetId="0" hidden="1">'бюджет 2020'!$9:$12</definedName>
    <definedName name="Z_74EA6356_78B8_4F6F_9C88_7ED64817BC20_.wvu.FilterData" localSheetId="0" hidden="1">'бюджет 2020'!$A$13:$Q$199</definedName>
    <definedName name="Z_77219AEC_206B_4BA5_BB35_2C5A2FF12F73_.wvu.FilterData" localSheetId="0" hidden="1">'бюджет 2020'!$S$1:$S$303</definedName>
    <definedName name="Z_788D644C_EFA2_479E_83E8_7E709AEED2B3_.wvu.FilterData" localSheetId="0" hidden="1">'бюджет 2020'!$A$5:$Q$199</definedName>
    <definedName name="Z_7B5924A6_F4BF_44B5_8369_6E0C4E4CDD03_.wvu.FilterData" localSheetId="0" hidden="1">'бюджет 2020'!$T$15:$T$202</definedName>
    <definedName name="Z_7C07EE80_51C7_4F68_9308_97581FF57A23_.wvu.FilterData" localSheetId="0" hidden="1">'бюджет 2020'!$T$15:$T$202</definedName>
    <definedName name="Z_82E690D4_F372_4835_869C_EC3BE48D04FF_.wvu.Cols" localSheetId="0" hidden="1">'бюджет 2020'!$P:$P</definedName>
    <definedName name="Z_82E690D4_F372_4835_869C_EC3BE48D04FF_.wvu.FilterData" localSheetId="0" hidden="1">'бюджет 2020'!$A$13:$Q$199</definedName>
    <definedName name="Z_82E690D4_F372_4835_869C_EC3BE48D04FF_.wvu.PrintTitles" localSheetId="0" hidden="1">'бюджет 2020'!$9:$12</definedName>
    <definedName name="Z_83038621_972B_4F3E_95DE_92DCB6DA3BC8_.wvu.FilterData" localSheetId="0" hidden="1">'бюджет 2020'!$A$5:$Q$199</definedName>
    <definedName name="Z_87FCCED2_1943_4C8C_B594_DD09637E263E_.wvu.FilterData" localSheetId="0" hidden="1">'бюджет 2020'!$A$5:$Q$199</definedName>
    <definedName name="Z_898A7308_EC82_47C6_8084_941DCF55988F_.wvu.FilterData" localSheetId="0" hidden="1">'бюджет 2020'!$A$13:$Q$199</definedName>
    <definedName name="Z_8BC4B537_19E1_4FBD_8F0C_6BDF3FC6CCE3_.wvu.FilterData" localSheetId="0" hidden="1">'бюджет 2020'!$T$15:$T$202</definedName>
    <definedName name="Z_901C52FA_8C6B_4870_A96D_9ACB59FFF715_.wvu.PrintArea" localSheetId="0" hidden="1">'бюджет 2020'!$A$1:$Q$202</definedName>
    <definedName name="Z_901C52FA_8C6B_4870_A96D_9ACB59FFF715_.wvu.PrintTitles" localSheetId="0" hidden="1">'бюджет 2020'!$9:$12</definedName>
    <definedName name="Z_901C52FA_8C6B_4870_A96D_9ACB59FFF715_.wvu.Rows" localSheetId="0" hidden="1">'бюджет 2020'!#REF!</definedName>
    <definedName name="Z_90415417_BACB_40A1_A63E_5CDE29AAF4C0_.wvu.FilterData" localSheetId="0" hidden="1">'бюджет 2020'!$A$13:$Q$199</definedName>
    <definedName name="Z_94DCD06E_14DC_4A2E_8D13_F34AEE7DEEC4_.wvu.FilterData" localSheetId="0" hidden="1">'бюджет 2020'!$14:$199</definedName>
    <definedName name="Z_99023DA6_B3B8_4899_85F1_D1E114417FE2_.wvu.FilterData" localSheetId="0" hidden="1">'бюджет 2020'!$A$5:$Q$199</definedName>
    <definedName name="Z_9B2A1339_2A01_4C70_B6A4_88AC7DF51419_.wvu.FilterData" localSheetId="0" hidden="1">'бюджет 2020'!$T$15:$T$202</definedName>
    <definedName name="Z_9DB6C55C_FEF7_4B3C_8A53_F6F1B18FECC2_.wvu.FilterData" localSheetId="0" hidden="1">'бюджет 2020'!$A$13:$Q$199</definedName>
    <definedName name="Z_A0A49DB6_47D1_4841_B3DF_14A3AA404E48_.wvu.FilterData" localSheetId="0" hidden="1">'бюджет 2020'!$A$13:$Q$199</definedName>
    <definedName name="Z_A4769E6E_B156_46A5_ABFD_4B2369C8E838_.wvu.FilterData" localSheetId="0" hidden="1">'бюджет 2020'!$T$15:$T$202</definedName>
    <definedName name="Z_A4A0B23D_0EEE_4CF4_8122_823347B4B577_.wvu.FilterData" localSheetId="0" hidden="1">'бюджет 2020'!$T$15:$T$202</definedName>
    <definedName name="Z_A5151744_FE8A_4DF9_B3B3_ED6499544881_.wvu.Cols" localSheetId="0" hidden="1">'бюджет 2020'!$P:$P</definedName>
    <definedName name="Z_A5151744_FE8A_4DF9_B3B3_ED6499544881_.wvu.FilterData" localSheetId="0" hidden="1">'бюджет 2020'!$A$13:$Q$199</definedName>
    <definedName name="Z_A5151744_FE8A_4DF9_B3B3_ED6499544881_.wvu.PrintTitles" localSheetId="0" hidden="1">'бюджет 2020'!$9:$12</definedName>
    <definedName name="Z_A559085B_07C2_4A70_92CD_7BB6F0929C6D_.wvu.FilterData" localSheetId="0" hidden="1">'бюджет 2020'!$A$13:$Q$199</definedName>
    <definedName name="Z_A7B20D2C_B29F_4CAD_9523_1A2E55AC52CB_.wvu.FilterData" localSheetId="0" hidden="1">'бюджет 2020'!$A$5:$Q$199</definedName>
    <definedName name="Z_A7B20D2C_B29F_4CAD_9523_1A2E55AC52CB_.wvu.PrintArea" localSheetId="0" hidden="1">'бюджет 2020'!$A$1:$Q$202</definedName>
    <definedName name="Z_A7B20D2C_B29F_4CAD_9523_1A2E55AC52CB_.wvu.PrintTitles" localSheetId="0" hidden="1">'бюджет 2020'!$9:$12</definedName>
    <definedName name="Z_A87DCD2C_0946_4BCD_9B5B_693801A4F7C1_.wvu.FilterData" localSheetId="0" hidden="1">'бюджет 2020'!$A$12:$Q$199</definedName>
    <definedName name="Z_AA3852ED_D729_4133_BF4C_900715093176_.wvu.FilterData" localSheetId="0" hidden="1">'бюджет 2020'!$T$15:$T$202</definedName>
    <definedName name="Z_AA476E0D_382B_47B3_8366_AF4C2CC786BE_.wvu.FilterData" localSheetId="0" hidden="1">'бюджет 2020'!$A$12:$Q$199</definedName>
    <definedName name="Z_AA4CEBEF_47C2_43E4_8F37_861E9D8E79AB_.wvu.FilterData" localSheetId="0" hidden="1">'бюджет 2020'!$T$15:$T$202</definedName>
    <definedName name="Z_ACF75ACA_4939_4659_A32F_B53E4C105233_.wvu.FilterData" localSheetId="0" hidden="1">'бюджет 2020'!$14:$199</definedName>
    <definedName name="Z_ADE74710_7B75_4161_8B52_95001B2D5221_.wvu.FilterData" localSheetId="0" hidden="1">'бюджет 2020'!$A$12:$Q$199</definedName>
    <definedName name="Z_B643337A_0A3C_41C8_BB14_F2531B30DB6B_.wvu.Cols" localSheetId="0" hidden="1">'бюджет 2020'!$P:$P</definedName>
    <definedName name="Z_B643337A_0A3C_41C8_BB14_F2531B30DB6B_.wvu.FilterData" localSheetId="0" hidden="1">'бюджет 2020'!$A$13:$Q$199</definedName>
    <definedName name="Z_B643337A_0A3C_41C8_BB14_F2531B30DB6B_.wvu.PrintTitles" localSheetId="0" hidden="1">'бюджет 2020'!$9:$12</definedName>
    <definedName name="Z_B8EDD7B2_983C_4368_AC59_087A5D15244B_.wvu.FilterData" localSheetId="0" hidden="1">'бюджет 2020'!$A$12:$Q$199</definedName>
    <definedName name="Z_B8EDD7B2_983C_4368_AC59_087A5D15244B_.wvu.PrintArea" localSheetId="0" hidden="1">'бюджет 2020'!$A$1:$Q$202</definedName>
    <definedName name="Z_B8EDD7B2_983C_4368_AC59_087A5D15244B_.wvu.PrintTitles" localSheetId="0" hidden="1">'бюджет 2020'!$9:$12</definedName>
    <definedName name="Z_BA4A7868_A59A_4BB8_AC85_B9766165ABB8_.wvu.FilterData" localSheetId="0" hidden="1">'бюджет 2020'!$A$13:$Q$199</definedName>
    <definedName name="Z_BF0D1377_D6CB_410F_9CAC_2402E71DAF4B_.wvu.FilterData" localSheetId="0" hidden="1">'бюджет 2020'!$A$12:$Q$199</definedName>
    <definedName name="Z_C2185186_391B_4388_A395_8237DD2AA90D_.wvu.FilterData" localSheetId="0" hidden="1">'бюджет 2020'!$A$13:$Q$199</definedName>
    <definedName name="Z_C24E66B2_6FA6_4233_AD35_7F1BBB3DDDC9_.wvu.FilterData" localSheetId="0" hidden="1">'бюджет 2020'!$A$13:$Q$199</definedName>
    <definedName name="Z_C25E2007_E47E_4666_9A2E_7BCCA233A5A2_.wvu.FilterData" localSheetId="0" hidden="1">'бюджет 2020'!$T$15:$T$202</definedName>
    <definedName name="Z_C65B485E_55A5_417F_8437_2FEBCCDFAA63_.wvu.FilterData" localSheetId="0" hidden="1">'бюджет 2020'!$A$5:$Q$199</definedName>
    <definedName name="Z_C7F445E7_931E_4332_A081_540109733D73_.wvu.FilterData" localSheetId="0" hidden="1">'бюджет 2020'!$T$15:$T$202</definedName>
    <definedName name="Z_CCB302F5_8A4B_4036_89B7_981549D09EC2_.wvu.FilterData" localSheetId="0" hidden="1">'бюджет 2020'!$A$5:$Q$199</definedName>
    <definedName name="Z_CD4514C3_7706_475D_AA98_B1C0E09E8262_.wvu.FilterData" localSheetId="0" hidden="1">'бюджет 2020'!$T$15:$T$202</definedName>
    <definedName name="Z_CDB2EDA9_59E5_4874_AEE8_722B0630CB58_.wvu.FilterData" localSheetId="0" hidden="1">'бюджет 2020'!$A$5:$Q$199</definedName>
    <definedName name="Z_CE4AD934_5AB1_4FA2_8BA9_DA027B0B6829_.wvu.FilterData" localSheetId="0" hidden="1">'бюджет 2020'!$T$15:$T$202</definedName>
    <definedName name="Z_CFB4D80B_8439_4DC0_A38B_697B6B9801B9_.wvu.FilterData" localSheetId="0" hidden="1">'бюджет 2020'!$A$5:$Q$199</definedName>
    <definedName name="Z_CFC135F0_EE57_40C1_896F_3F9AD8194FB1_.wvu.FilterData" localSheetId="0" hidden="1">'бюджет 2020'!$A$12:$Q$199</definedName>
    <definedName name="Z_CFC38508_5849_45E9_A540_428F6627D410_.wvu.FilterData" localSheetId="0" hidden="1">'бюджет 2020'!$T$15:$T$202</definedName>
    <definedName name="Z_CFF53A88_24FC_46A1_BE8D_25E5D9EAC913_.wvu.FilterData" localSheetId="0" hidden="1">'бюджет 2020'!$A$5:$Q$199</definedName>
    <definedName name="Z_D080AA83_EFDF_4344_AF5F_1E7123EC0EA5_.wvu.FilterData" localSheetId="0" hidden="1">'бюджет 2020'!$A$5:$Q$199</definedName>
    <definedName name="Z_D35931BD_C5B2_4A6B_A289_51E69455AFE5_.wvu.FilterData" localSheetId="0" hidden="1">'бюджет 2020'!$A$13:$Q$199</definedName>
    <definedName name="Z_D40E6F69_8E39_4C97_882A_FB445233F6B2_.wvu.FilterData" localSheetId="0" hidden="1">'бюджет 2020'!$A$5:$Q$199</definedName>
    <definedName name="Z_D45EDE37_AE52_468D_A466_EA778DD6EF00_.wvu.FilterData" localSheetId="0" hidden="1">'бюджет 2020'!$A$5:$Q$199</definedName>
    <definedName name="Z_D5B2803E_6E6E_4A29_93FF_48AC30E3C910_.wvu.FilterData" localSheetId="0" hidden="1">'бюджет 2020'!$A$5:$Q$199</definedName>
    <definedName name="Z_D62C64D4_B079_4C6F_99B8_6A4C6090C705_.wvu.FilterData" localSheetId="0" hidden="1">'бюджет 2020'!$A$12:$Q$199</definedName>
    <definedName name="Z_D62C64D4_B079_4C6F_99B8_6A4C6090C705_.wvu.PrintArea" localSheetId="0" hidden="1">'бюджет 2020'!$A$1:$Q$202</definedName>
    <definedName name="Z_D62C64D4_B079_4C6F_99B8_6A4C6090C705_.wvu.PrintTitles" localSheetId="0" hidden="1">'бюджет 2020'!$9:$12</definedName>
    <definedName name="Z_DB6BF638_3672_4BA6_B91B_700477567FCC_.wvu.Cols" localSheetId="0" hidden="1">'бюджет 2020'!$P:$P</definedName>
    <definedName name="Z_DB6BF638_3672_4BA6_B91B_700477567FCC_.wvu.FilterData" localSheetId="0" hidden="1">'бюджет 2020'!$A$13:$Q$199</definedName>
    <definedName name="Z_DB6BF638_3672_4BA6_B91B_700477567FCC_.wvu.PrintArea" localSheetId="0" hidden="1">'бюджет 2020'!$A$1:$Q$202</definedName>
    <definedName name="Z_DB6BF638_3672_4BA6_B91B_700477567FCC_.wvu.PrintTitles" localSheetId="0" hidden="1">'бюджет 2020'!$9:$12</definedName>
    <definedName name="Z_DC41FBDB_ABEB_43A1_943B_87BEC07CAE64_.wvu.Cols" localSheetId="0" hidden="1">'бюджет 2020'!$P:$P</definedName>
    <definedName name="Z_DC41FBDB_ABEB_43A1_943B_87BEC07CAE64_.wvu.FilterData" localSheetId="0" hidden="1">'бюджет 2020'!$A$5:$Q$199</definedName>
    <definedName name="Z_DC41FBDB_ABEB_43A1_943B_87BEC07CAE64_.wvu.PrintArea" localSheetId="0" hidden="1">'бюджет 2020'!$A$1:$Q$202</definedName>
    <definedName name="Z_DC41FBDB_ABEB_43A1_943B_87BEC07CAE64_.wvu.PrintTitles" localSheetId="0" hidden="1">'бюджет 2020'!$9:$12</definedName>
    <definedName name="Z_DDEFFFA9_BE54_470A_84E5_18E3838CD43E_.wvu.FilterData" localSheetId="0" hidden="1">'бюджет 2020'!$A$5:$Q$199</definedName>
    <definedName name="Z_DE141A78_605C_44BB_BD62_B03A40069945_.wvu.FilterData" localSheetId="0" hidden="1">'бюджет 2020'!$A$5:$Q$199</definedName>
    <definedName name="Z_E05FEE76_C8F0_48FB_98C0_D7C09801D654_.wvu.FilterData" localSheetId="0" hidden="1">'бюджет 2020'!$A$13:$Q$199</definedName>
    <definedName name="Z_E2A48689_A5E5_46D0_8C00_B120D0D37D17_.wvu.FilterData" localSheetId="0" hidden="1">'бюджет 2020'!$T$15:$T$202</definedName>
    <definedName name="Z_E6C99BC7_4636_474D_85D2_6ED73099DFA7_.wvu.FilterData" localSheetId="0" hidden="1">'бюджет 2020'!$A$13:$Q$199</definedName>
    <definedName name="Z_E7652BCA_4782_4031_80A0_236155F7E125_.wvu.FilterData" localSheetId="0" hidden="1">'бюджет 2020'!$T$15:$T$202</definedName>
    <definedName name="Z_EB102C64_3D9F_4FE1_93DA_FC2B4F01DFA7_.wvu.FilterData" localSheetId="0" hidden="1">'бюджет 2020'!$T$15:$T$202</definedName>
    <definedName name="Z_EDE7AB98_7398_4457_B90C_2C25B6FA8DD9_.wvu.FilterData" localSheetId="0" hidden="1">'бюджет 2020'!$A$5:$Q$199</definedName>
    <definedName name="Z_EE29E89D_F51B_4DF2_827F_CEAABC20B800_.wvu.FilterData" localSheetId="0" hidden="1">'бюджет 2020'!$A$13:$Q$199</definedName>
    <definedName name="Z_EE37EADA_1A10_44E8_A1EE_5457CBD8D1BB_.wvu.FilterData" localSheetId="0" hidden="1">'бюджет 2020'!$T$15:$T$202</definedName>
    <definedName name="Z_F03CF6E5_C697_439E_A001_675112FAA55F_.wvu.FilterData" localSheetId="0" hidden="1">'бюджет 2020'!$A$13:$Q$199</definedName>
    <definedName name="Z_F3A9346B_6939_4CCB_97E8_B87FE6C8408C_.wvu.FilterData" localSheetId="0" hidden="1">'бюджет 2020'!$A$13:$Q$199</definedName>
    <definedName name="Z_F5B503FF_50C6_4A02_BEFD_FECD55929EDE_.wvu.FilterData" localSheetId="0" hidden="1">'бюджет 2020'!$A$5:$Q$199</definedName>
    <definedName name="Z_F65D5C81_586F_4ED8_8A7E_999252B36C10_.wvu.FilterData" localSheetId="0" hidden="1">'бюджет 2020'!$A$5:$Q$199</definedName>
    <definedName name="Z_F71D6805_C714_419D_B610_C94AE93ED077_.wvu.FilterData" localSheetId="0" hidden="1">'бюджет 2020'!$A$5:$Q$199</definedName>
    <definedName name="Z_F76F60ED_9331_410D_B081_6722B617DF68_.wvu.FilterData" localSheetId="0" hidden="1">'бюджет 2020'!$A$5:$Q$199</definedName>
    <definedName name="Z_F9D393D9_7D14_466E_939A_C2A79E4D9094_.wvu.FilterData" localSheetId="0" hidden="1">'бюджет 2020'!$A$12:$Q$199</definedName>
    <definedName name="Z_FAAAFD53_EFAF_4192_BD40_5531F2229F08_.wvu.FilterData" localSheetId="0" hidden="1">'бюджет 2020'!$A$5:$Q$199</definedName>
    <definedName name="Z_FE077014_7116_4A93_9B68_7AFDAB8CFB3D_.wvu.FilterData" localSheetId="0" hidden="1">'бюджет 2020'!$A$13:$Q$199</definedName>
    <definedName name="Z_FE652BEB_973D_451C_9ED2_EDCF1F5CBA89_.wvu.FilterData" localSheetId="0" hidden="1">'бюджет 2020'!$T$15:$T$202</definedName>
    <definedName name="_xlnm.Print_Titles" localSheetId="0">'бюджет 2020'!$9:$12</definedName>
    <definedName name="_xlnm.Print_Area" localSheetId="0">'бюджет 2020'!$A$1:$Q$202</definedName>
  </definedNames>
  <calcPr calcId="125725"/>
  <customWorkbookViews>
    <customWorkbookView name="Свіцельська Ірина - Личное представление" guid="{1D8128F6-B435-44FF-A037-9BD54EFEFDCB}" mergeInterval="0" personalView="1" maximized="1" xWindow="1" yWindow="1" windowWidth="1280" windowHeight="797" tabRatio="563" activeSheetId="1"/>
    <customWorkbookView name="User - Личное представление" guid="{BA4A7868-A59A-4BB8-AC85-B9766165ABB8}" mergeInterval="0" personalView="1" maximized="1" xWindow="1" yWindow="1" windowWidth="1916" windowHeight="853" activeSheetId="1"/>
    <customWorkbookView name="Лена Луцюк - Личное представление" guid="{465BD29E-DF98-40C1-A448-521E1312C017}" mergeInterval="0" personalView="1" maximized="1" xWindow="1" yWindow="1" windowWidth="1366" windowHeight="541" activeSheetId="1"/>
    <customWorkbookView name="Ludmilla - Личное представление" guid="{118ABD37-1ACF-4730-AF1D-1B75EE1E1D59}" mergeInterval="0" personalView="1" maximized="1" xWindow="1" yWindow="1" windowWidth="1020" windowHeight="551" activeSheetId="1"/>
    <customWorkbookView name="031115-03 - Личное представление" guid="{B643337A-0A3C-41C8-BB14-F2531B30DB6B}" mergeInterval="0" personalView="1" maximized="1" xWindow="1" yWindow="1" windowWidth="1366" windowHeight="541" activeSheetId="1"/>
    <customWorkbookView name="Oleg - Личное представление" guid="{72281E9A-1074-405D-BEC9-F19F3AAF08DD}" mergeInterval="0" personalView="1" maximized="1" xWindow="1" yWindow="1" windowWidth="1362" windowHeight="541" activeSheetId="1"/>
    <customWorkbookView name="DBF1 - Личное представление" guid="{82E690D4-F372-4835-869C-EC3BE48D04FF}" mergeInterval="0" personalView="1" maximized="1" xWindow="1" yWindow="1" windowWidth="1366" windowHeight="538" activeSheetId="1"/>
    <customWorkbookView name="Admin - Личное представление" guid="{55C3F4C1-780C-49F7-A5ED-38837E4BD0D2}" mergeInterval="0" personalView="1" maximized="1" xWindow="1" yWindow="1" windowWidth="1024" windowHeight="524" activeSheetId="1"/>
    <customWorkbookView name="Пользователь - Личное представление" guid="{6922F3C9-426B-40C5-BC7C-90FFDC39740C}" mergeInterval="0" personalView="1" maximized="1" xWindow="1" yWindow="1" windowWidth="1280" windowHeight="797" activeSheetId="1"/>
    <customWorkbookView name="031115-02 - Личное представление" guid="{DB6BF638-3672-4BA6-B91B-700477567FCC}" mergeInterval="0" personalView="1" maximized="1" xWindow="1" yWindow="1" windowWidth="1362" windowHeight="541" tabRatio="563" activeSheetId="1"/>
    <customWorkbookView name="ukr - Личное представление" guid="{5D060DE1-CC13-45C6-B427-3A50E6447880}" mergeInterval="0" personalView="1" maximized="1" xWindow="1" yWindow="1" windowWidth="1436" windowHeight="646" activeSheetId="1"/>
    <customWorkbookView name="Пользователь Windows - Личное представление" guid="{A5151744-FE8A-4DF9-B3B3-ED6499544881}" mergeInterval="0" personalView="1" maximized="1" xWindow="1" yWindow="1" windowWidth="1916" windowHeight="853" activeSheetId="1"/>
  </customWorkbookViews>
</workbook>
</file>

<file path=xl/calcChain.xml><?xml version="1.0" encoding="utf-8"?>
<calcChain xmlns="http://schemas.openxmlformats.org/spreadsheetml/2006/main">
  <c r="H34" i="1"/>
  <c r="H35"/>
  <c r="K34"/>
  <c r="K35"/>
  <c r="O34"/>
  <c r="O35"/>
  <c r="G34"/>
  <c r="F34"/>
  <c r="G35"/>
  <c r="F35"/>
  <c r="F189"/>
  <c r="F29"/>
  <c r="O55"/>
  <c r="K55"/>
  <c r="O112"/>
  <c r="K112"/>
  <c r="I112"/>
  <c r="I109"/>
  <c r="F75"/>
  <c r="O148"/>
  <c r="K148"/>
  <c r="O144"/>
  <c r="K144"/>
  <c r="O133"/>
  <c r="G73"/>
  <c r="F73"/>
  <c r="F66"/>
  <c r="F65"/>
  <c r="F64"/>
  <c r="J57"/>
  <c r="Q57" s="1"/>
  <c r="F55"/>
  <c r="F53"/>
  <c r="F42"/>
  <c r="F37"/>
  <c r="F36"/>
  <c r="E22"/>
  <c r="Q22" s="1"/>
  <c r="O29"/>
  <c r="K29"/>
  <c r="F25"/>
  <c r="J59"/>
  <c r="J58"/>
  <c r="Q58" s="1"/>
  <c r="J74"/>
  <c r="Q74" s="1"/>
  <c r="O147"/>
  <c r="K147"/>
  <c r="J139"/>
  <c r="Q139" s="1"/>
  <c r="E137"/>
  <c r="Q137" s="1"/>
  <c r="H78"/>
  <c r="L78"/>
  <c r="M78"/>
  <c r="N78"/>
  <c r="P78"/>
  <c r="J89"/>
  <c r="Q89" s="1"/>
  <c r="I32"/>
  <c r="L32"/>
  <c r="M32"/>
  <c r="N32"/>
  <c r="P32"/>
  <c r="J44"/>
  <c r="Q44" s="1"/>
  <c r="F24"/>
  <c r="F16"/>
  <c r="K43"/>
  <c r="O43"/>
  <c r="J43" s="1"/>
  <c r="J143"/>
  <c r="Q143" s="1"/>
  <c r="F194"/>
  <c r="E126"/>
  <c r="Q126" s="1"/>
  <c r="I169"/>
  <c r="E111"/>
  <c r="Q111" s="1"/>
  <c r="I29"/>
  <c r="I25"/>
  <c r="H32" l="1"/>
  <c r="O32"/>
  <c r="O198"/>
  <c r="K198"/>
  <c r="F197"/>
  <c r="F193"/>
  <c r="F180"/>
  <c r="F179"/>
  <c r="O170"/>
  <c r="K170"/>
  <c r="I167"/>
  <c r="I162" s="1"/>
  <c r="O166"/>
  <c r="J166" s="1"/>
  <c r="K166"/>
  <c r="F164"/>
  <c r="E157"/>
  <c r="J157"/>
  <c r="K142"/>
  <c r="O142"/>
  <c r="J141"/>
  <c r="Q141" s="1"/>
  <c r="O127"/>
  <c r="K127"/>
  <c r="I124"/>
  <c r="F112"/>
  <c r="E112" s="1"/>
  <c r="G102"/>
  <c r="H102"/>
  <c r="F102"/>
  <c r="F95"/>
  <c r="F94"/>
  <c r="E93"/>
  <c r="Q93" s="1"/>
  <c r="G81"/>
  <c r="I26"/>
  <c r="F17"/>
  <c r="O16"/>
  <c r="K16"/>
  <c r="F181"/>
  <c r="O122"/>
  <c r="K123"/>
  <c r="O123"/>
  <c r="J123" s="1"/>
  <c r="K122"/>
  <c r="O156"/>
  <c r="F48"/>
  <c r="F50"/>
  <c r="E158"/>
  <c r="Q158" s="1"/>
  <c r="K155"/>
  <c r="O146"/>
  <c r="J146" s="1"/>
  <c r="Q146" s="1"/>
  <c r="K146"/>
  <c r="O23"/>
  <c r="K23"/>
  <c r="I86"/>
  <c r="F103"/>
  <c r="F101"/>
  <c r="G192"/>
  <c r="F192"/>
  <c r="G185"/>
  <c r="F185"/>
  <c r="G175"/>
  <c r="F175"/>
  <c r="G163"/>
  <c r="G162" s="1"/>
  <c r="F163"/>
  <c r="F162" s="1"/>
  <c r="G154"/>
  <c r="F154"/>
  <c r="G136"/>
  <c r="G135" s="1"/>
  <c r="F136"/>
  <c r="F135" s="1"/>
  <c r="G121"/>
  <c r="F121"/>
  <c r="G108"/>
  <c r="F108"/>
  <c r="G79"/>
  <c r="G33"/>
  <c r="G16"/>
  <c r="I23"/>
  <c r="G68"/>
  <c r="F68"/>
  <c r="G62"/>
  <c r="F62"/>
  <c r="G47"/>
  <c r="F47"/>
  <c r="I87"/>
  <c r="F85"/>
  <c r="F78" s="1"/>
  <c r="F26"/>
  <c r="J23"/>
  <c r="F160"/>
  <c r="I156"/>
  <c r="F132"/>
  <c r="I125"/>
  <c r="J87"/>
  <c r="J88"/>
  <c r="Q88" s="1"/>
  <c r="J41"/>
  <c r="K41"/>
  <c r="K32" s="1"/>
  <c r="F41"/>
  <c r="F32" s="1"/>
  <c r="F30"/>
  <c r="O21"/>
  <c r="F97"/>
  <c r="H162"/>
  <c r="L162"/>
  <c r="M162"/>
  <c r="N162"/>
  <c r="P162"/>
  <c r="E172"/>
  <c r="Q172" s="1"/>
  <c r="E115"/>
  <c r="E116"/>
  <c r="Q116" s="1"/>
  <c r="O86"/>
  <c r="K86"/>
  <c r="K78" s="1"/>
  <c r="E54"/>
  <c r="Q54" s="1"/>
  <c r="F52"/>
  <c r="F51"/>
  <c r="F49"/>
  <c r="O48"/>
  <c r="K48"/>
  <c r="G41"/>
  <c r="F69"/>
  <c r="F187"/>
  <c r="O171"/>
  <c r="O162" s="1"/>
  <c r="J149"/>
  <c r="Q149" s="1"/>
  <c r="O151"/>
  <c r="J151" s="1"/>
  <c r="Q151" s="1"/>
  <c r="K151"/>
  <c r="J148"/>
  <c r="E127"/>
  <c r="E128"/>
  <c r="E129"/>
  <c r="Q129" s="1"/>
  <c r="J144"/>
  <c r="J138"/>
  <c r="E138"/>
  <c r="H135"/>
  <c r="I135"/>
  <c r="L135"/>
  <c r="M135"/>
  <c r="N135"/>
  <c r="P135"/>
  <c r="J147"/>
  <c r="Q147" s="1"/>
  <c r="Q43"/>
  <c r="J170"/>
  <c r="Q170" s="1"/>
  <c r="J168"/>
  <c r="J167"/>
  <c r="J150"/>
  <c r="J145"/>
  <c r="Q145" s="1"/>
  <c r="J142"/>
  <c r="J140"/>
  <c r="Q140" s="1"/>
  <c r="G78" l="1"/>
  <c r="K162"/>
  <c r="Q157"/>
  <c r="G32"/>
  <c r="I78"/>
  <c r="E87"/>
  <c r="Q87" s="1"/>
  <c r="K135"/>
  <c r="Q138"/>
  <c r="O135"/>
  <c r="J16"/>
  <c r="J159"/>
  <c r="Q159" s="1"/>
  <c r="J156"/>
  <c r="J128"/>
  <c r="Q128" s="1"/>
  <c r="J115"/>
  <c r="Q115" s="1"/>
  <c r="Q166"/>
  <c r="J127"/>
  <c r="Q127" s="1"/>
  <c r="G91"/>
  <c r="H91"/>
  <c r="I91"/>
  <c r="K91"/>
  <c r="L91"/>
  <c r="M91"/>
  <c r="N91"/>
  <c r="O91"/>
  <c r="P91"/>
  <c r="E104"/>
  <c r="Q104" s="1"/>
  <c r="O82"/>
  <c r="O78" s="1"/>
  <c r="F91"/>
  <c r="J109"/>
  <c r="E109"/>
  <c r="Q150"/>
  <c r="Q142"/>
  <c r="E156"/>
  <c r="G191"/>
  <c r="H191"/>
  <c r="I191"/>
  <c r="K191"/>
  <c r="L191"/>
  <c r="M191"/>
  <c r="N191"/>
  <c r="O191"/>
  <c r="J198"/>
  <c r="F198"/>
  <c r="J163"/>
  <c r="G120"/>
  <c r="H120"/>
  <c r="I120"/>
  <c r="L120"/>
  <c r="M120"/>
  <c r="N120"/>
  <c r="O120"/>
  <c r="P120"/>
  <c r="O20"/>
  <c r="K20"/>
  <c r="F18"/>
  <c r="F125"/>
  <c r="F120" s="1"/>
  <c r="F19"/>
  <c r="F61"/>
  <c r="Q156" l="1"/>
  <c r="F191"/>
  <c r="K120"/>
  <c r="Q109"/>
  <c r="E198"/>
  <c r="Q198" s="1"/>
  <c r="E133"/>
  <c r="J97"/>
  <c r="K61"/>
  <c r="J133" l="1"/>
  <c r="Q133" s="1"/>
  <c r="E100"/>
  <c r="E110"/>
  <c r="E98"/>
  <c r="E96"/>
  <c r="E82"/>
  <c r="E80"/>
  <c r="J20"/>
  <c r="J181"/>
  <c r="J178"/>
  <c r="J179"/>
  <c r="J180"/>
  <c r="J169"/>
  <c r="E164"/>
  <c r="Q164" s="1"/>
  <c r="J125"/>
  <c r="E84"/>
  <c r="E85"/>
  <c r="E41"/>
  <c r="Q41" s="1"/>
  <c r="J110"/>
  <c r="J94"/>
  <c r="J95"/>
  <c r="J96"/>
  <c r="E175"/>
  <c r="Q175" s="1"/>
  <c r="E179"/>
  <c r="J40"/>
  <c r="J155"/>
  <c r="E144"/>
  <c r="E148"/>
  <c r="J99"/>
  <c r="J100"/>
  <c r="J84"/>
  <c r="J85"/>
  <c r="J86"/>
  <c r="J25"/>
  <c r="J26"/>
  <c r="J27"/>
  <c r="Q27" s="1"/>
  <c r="J17"/>
  <c r="E17"/>
  <c r="J182"/>
  <c r="E182"/>
  <c r="E181"/>
  <c r="E180"/>
  <c r="E178"/>
  <c r="E177"/>
  <c r="Q177" s="1"/>
  <c r="J176"/>
  <c r="E176"/>
  <c r="P174"/>
  <c r="P173" s="1"/>
  <c r="O174"/>
  <c r="O173" s="1"/>
  <c r="N174"/>
  <c r="N173" s="1"/>
  <c r="M174"/>
  <c r="M173" s="1"/>
  <c r="L174"/>
  <c r="L173" s="1"/>
  <c r="K174"/>
  <c r="K173" s="1"/>
  <c r="I174"/>
  <c r="I173" s="1"/>
  <c r="H174"/>
  <c r="H173" s="1"/>
  <c r="G174"/>
  <c r="G173" s="1"/>
  <c r="L107"/>
  <c r="E81"/>
  <c r="E103"/>
  <c r="E102"/>
  <c r="E99"/>
  <c r="E95"/>
  <c r="E94"/>
  <c r="E101"/>
  <c r="E97"/>
  <c r="E92"/>
  <c r="J124"/>
  <c r="J165"/>
  <c r="E165"/>
  <c r="P15"/>
  <c r="P14" s="1"/>
  <c r="G15"/>
  <c r="G14" s="1"/>
  <c r="H15"/>
  <c r="H14" s="1"/>
  <c r="I15"/>
  <c r="I14" s="1"/>
  <c r="K15"/>
  <c r="K14" s="1"/>
  <c r="E91" l="1"/>
  <c r="Q179"/>
  <c r="Q180"/>
  <c r="F174"/>
  <c r="F173" s="1"/>
  <c r="Q178"/>
  <c r="J174"/>
  <c r="J173" s="1"/>
  <c r="Q110"/>
  <c r="K134"/>
  <c r="O134"/>
  <c r="Q17"/>
  <c r="Q148"/>
  <c r="Q176"/>
  <c r="Q181"/>
  <c r="Q182"/>
  <c r="F46"/>
  <c r="K107"/>
  <c r="E174"/>
  <c r="E173" s="1"/>
  <c r="O107"/>
  <c r="Q165"/>
  <c r="Q102"/>
  <c r="Q101"/>
  <c r="Q100"/>
  <c r="Q99"/>
  <c r="Q97"/>
  <c r="Q96"/>
  <c r="Q95"/>
  <c r="Q85"/>
  <c r="Q84"/>
  <c r="Q144"/>
  <c r="J117"/>
  <c r="J114"/>
  <c r="J112"/>
  <c r="J105"/>
  <c r="Q105" s="1"/>
  <c r="J98"/>
  <c r="Q98" s="1"/>
  <c r="J130"/>
  <c r="J122"/>
  <c r="N134"/>
  <c r="M134"/>
  <c r="L134"/>
  <c r="J136"/>
  <c r="J135" s="1"/>
  <c r="Q174" l="1"/>
  <c r="Q173" s="1"/>
  <c r="J35"/>
  <c r="O31"/>
  <c r="J38"/>
  <c r="J92"/>
  <c r="J47"/>
  <c r="J55"/>
  <c r="J48"/>
  <c r="J49"/>
  <c r="J37"/>
  <c r="E35"/>
  <c r="E75"/>
  <c r="E76"/>
  <c r="Q76" s="1"/>
  <c r="E73"/>
  <c r="E72"/>
  <c r="E71"/>
  <c r="E70"/>
  <c r="E69"/>
  <c r="E67"/>
  <c r="E64"/>
  <c r="Q64" s="1"/>
  <c r="E65"/>
  <c r="Q65" s="1"/>
  <c r="E63"/>
  <c r="Q63" s="1"/>
  <c r="H61"/>
  <c r="H60" s="1"/>
  <c r="I61"/>
  <c r="I60" s="1"/>
  <c r="K60"/>
  <c r="L61"/>
  <c r="L60" s="1"/>
  <c r="M61"/>
  <c r="M60" s="1"/>
  <c r="N61"/>
  <c r="N60" s="1"/>
  <c r="O61"/>
  <c r="O60" s="1"/>
  <c r="P61"/>
  <c r="P60" s="1"/>
  <c r="E68"/>
  <c r="G61"/>
  <c r="G60" s="1"/>
  <c r="E66"/>
  <c r="Q66" s="1"/>
  <c r="J70"/>
  <c r="J67"/>
  <c r="E90"/>
  <c r="O106"/>
  <c r="G90"/>
  <c r="H90"/>
  <c r="F90"/>
  <c r="E108"/>
  <c r="F15"/>
  <c r="F14" s="1"/>
  <c r="F45"/>
  <c r="J53"/>
  <c r="E59"/>
  <c r="E53"/>
  <c r="E47"/>
  <c r="G46"/>
  <c r="G45" s="1"/>
  <c r="H46"/>
  <c r="H45" s="1"/>
  <c r="I46"/>
  <c r="I45" s="1"/>
  <c r="K46"/>
  <c r="K45" s="1"/>
  <c r="L46"/>
  <c r="L45" s="1"/>
  <c r="M46"/>
  <c r="M45" s="1"/>
  <c r="N46"/>
  <c r="N45" s="1"/>
  <c r="O46"/>
  <c r="O45" s="1"/>
  <c r="P46"/>
  <c r="P45" s="1"/>
  <c r="J68"/>
  <c r="J82"/>
  <c r="Q82" s="1"/>
  <c r="J80"/>
  <c r="Q80" s="1"/>
  <c r="E20"/>
  <c r="Q20" s="1"/>
  <c r="E188"/>
  <c r="Q188" s="1"/>
  <c r="P184"/>
  <c r="P183" s="1"/>
  <c r="O184"/>
  <c r="O183" s="1"/>
  <c r="N184"/>
  <c r="N183" s="1"/>
  <c r="M184"/>
  <c r="M183" s="1"/>
  <c r="L184"/>
  <c r="L183" s="1"/>
  <c r="K184"/>
  <c r="K183" s="1"/>
  <c r="I184"/>
  <c r="I183" s="1"/>
  <c r="H184"/>
  <c r="H183" s="1"/>
  <c r="G184"/>
  <c r="G183" s="1"/>
  <c r="F184"/>
  <c r="F183" s="1"/>
  <c r="J185"/>
  <c r="E185"/>
  <c r="P161"/>
  <c r="O161"/>
  <c r="N161"/>
  <c r="M161"/>
  <c r="L161"/>
  <c r="K161"/>
  <c r="I161"/>
  <c r="H161"/>
  <c r="G161"/>
  <c r="F161"/>
  <c r="E163"/>
  <c r="E62"/>
  <c r="Q62" s="1"/>
  <c r="J171"/>
  <c r="J162" s="1"/>
  <c r="E168"/>
  <c r="Q168" s="1"/>
  <c r="E169"/>
  <c r="E171"/>
  <c r="E186"/>
  <c r="J186"/>
  <c r="J189"/>
  <c r="E167"/>
  <c r="G153"/>
  <c r="G152" s="1"/>
  <c r="H153"/>
  <c r="H152" s="1"/>
  <c r="I153"/>
  <c r="I152" s="1"/>
  <c r="K153"/>
  <c r="K152" s="1"/>
  <c r="L153"/>
  <c r="L152" s="1"/>
  <c r="M153"/>
  <c r="M152" s="1"/>
  <c r="N153"/>
  <c r="N152" s="1"/>
  <c r="O153"/>
  <c r="O152" s="1"/>
  <c r="P153"/>
  <c r="P152" s="1"/>
  <c r="F153"/>
  <c r="F152" s="1"/>
  <c r="E49"/>
  <c r="E28"/>
  <c r="Q28" s="1"/>
  <c r="E132"/>
  <c r="E196"/>
  <c r="E118"/>
  <c r="E40"/>
  <c r="Q40" s="1"/>
  <c r="E39"/>
  <c r="E38"/>
  <c r="E155"/>
  <c r="Q155" s="1"/>
  <c r="E130"/>
  <c r="Q130" s="1"/>
  <c r="E131"/>
  <c r="E124"/>
  <c r="Q124" s="1"/>
  <c r="E122"/>
  <c r="Q122" s="1"/>
  <c r="E123"/>
  <c r="Q123" s="1"/>
  <c r="E117"/>
  <c r="Q117" s="1"/>
  <c r="Q112"/>
  <c r="E113"/>
  <c r="E114"/>
  <c r="Q114" s="1"/>
  <c r="E86"/>
  <c r="Q86" s="1"/>
  <c r="E83"/>
  <c r="E23"/>
  <c r="Q23" s="1"/>
  <c r="E24"/>
  <c r="Q24" s="1"/>
  <c r="E25"/>
  <c r="Q25" s="1"/>
  <c r="J21"/>
  <c r="E21"/>
  <c r="E26"/>
  <c r="Q26" s="1"/>
  <c r="F190"/>
  <c r="G190"/>
  <c r="H190"/>
  <c r="I190"/>
  <c r="K190"/>
  <c r="L190"/>
  <c r="M190"/>
  <c r="N190"/>
  <c r="O190"/>
  <c r="P191"/>
  <c r="P190" s="1"/>
  <c r="J197"/>
  <c r="J196"/>
  <c r="J195"/>
  <c r="J194"/>
  <c r="J193"/>
  <c r="J192"/>
  <c r="E197"/>
  <c r="Q197" s="1"/>
  <c r="E194"/>
  <c r="E193"/>
  <c r="E192"/>
  <c r="J160"/>
  <c r="J154"/>
  <c r="E154"/>
  <c r="F134"/>
  <c r="G134"/>
  <c r="H134"/>
  <c r="I134"/>
  <c r="P134"/>
  <c r="E136"/>
  <c r="G119"/>
  <c r="H119"/>
  <c r="I119"/>
  <c r="K119"/>
  <c r="L119"/>
  <c r="M119"/>
  <c r="N119"/>
  <c r="O119"/>
  <c r="P119"/>
  <c r="J132"/>
  <c r="J131"/>
  <c r="J121"/>
  <c r="E121"/>
  <c r="F107"/>
  <c r="F106" s="1"/>
  <c r="G107"/>
  <c r="G106" s="1"/>
  <c r="H107"/>
  <c r="H106" s="1"/>
  <c r="I107"/>
  <c r="I106" s="1"/>
  <c r="K106"/>
  <c r="L106"/>
  <c r="M107"/>
  <c r="M106" s="1"/>
  <c r="N107"/>
  <c r="N106" s="1"/>
  <c r="P107"/>
  <c r="P106" s="1"/>
  <c r="J118"/>
  <c r="J113"/>
  <c r="J108"/>
  <c r="I90"/>
  <c r="K90"/>
  <c r="L90"/>
  <c r="M90"/>
  <c r="N90"/>
  <c r="O90"/>
  <c r="P90"/>
  <c r="J103"/>
  <c r="Q103" s="1"/>
  <c r="Q94"/>
  <c r="F77"/>
  <c r="G77"/>
  <c r="H77"/>
  <c r="I77"/>
  <c r="K77"/>
  <c r="L77"/>
  <c r="M77"/>
  <c r="N77"/>
  <c r="O77"/>
  <c r="P77"/>
  <c r="J83"/>
  <c r="J81"/>
  <c r="Q81" s="1"/>
  <c r="J79"/>
  <c r="E79"/>
  <c r="J75"/>
  <c r="J69"/>
  <c r="J71"/>
  <c r="J72"/>
  <c r="J73"/>
  <c r="E42"/>
  <c r="E37"/>
  <c r="E36"/>
  <c r="E34"/>
  <c r="E33"/>
  <c r="J56"/>
  <c r="J52"/>
  <c r="J51"/>
  <c r="J50"/>
  <c r="E56"/>
  <c r="E55"/>
  <c r="E52"/>
  <c r="E51"/>
  <c r="E50"/>
  <c r="E48"/>
  <c r="E18"/>
  <c r="E29"/>
  <c r="E187"/>
  <c r="E189"/>
  <c r="E30"/>
  <c r="E16"/>
  <c r="F31"/>
  <c r="G31"/>
  <c r="H31"/>
  <c r="I31"/>
  <c r="K31"/>
  <c r="L31"/>
  <c r="M31"/>
  <c r="N31"/>
  <c r="P31"/>
  <c r="J42"/>
  <c r="J36"/>
  <c r="J33"/>
  <c r="L15"/>
  <c r="L14" s="1"/>
  <c r="M15"/>
  <c r="M14" s="1"/>
  <c r="N15"/>
  <c r="N14" s="1"/>
  <c r="O15"/>
  <c r="O14" s="1"/>
  <c r="J18"/>
  <c r="J19"/>
  <c r="J29"/>
  <c r="J187"/>
  <c r="J30"/>
  <c r="E160"/>
  <c r="E19"/>
  <c r="J78" l="1"/>
  <c r="E32"/>
  <c r="E78"/>
  <c r="E77"/>
  <c r="E162"/>
  <c r="E161" s="1"/>
  <c r="Q136"/>
  <c r="Q135" s="1"/>
  <c r="E135"/>
  <c r="E134" s="1"/>
  <c r="Q92"/>
  <c r="Q91" s="1"/>
  <c r="J91"/>
  <c r="E191"/>
  <c r="J191"/>
  <c r="J190" s="1"/>
  <c r="E153"/>
  <c r="E152" s="1"/>
  <c r="J120"/>
  <c r="J119" s="1"/>
  <c r="Q53"/>
  <c r="Q56"/>
  <c r="E61"/>
  <c r="Q55"/>
  <c r="E31"/>
  <c r="E125"/>
  <c r="Q125" s="1"/>
  <c r="F119"/>
  <c r="J77"/>
  <c r="Q49"/>
  <c r="J134"/>
  <c r="G199"/>
  <c r="Q189"/>
  <c r="P199"/>
  <c r="N199"/>
  <c r="L199"/>
  <c r="I199"/>
  <c r="M199"/>
  <c r="O199"/>
  <c r="H199"/>
  <c r="K199"/>
  <c r="F60"/>
  <c r="Q37"/>
  <c r="E184"/>
  <c r="E183" s="1"/>
  <c r="Q160"/>
  <c r="Q47"/>
  <c r="J153"/>
  <c r="J152" s="1"/>
  <c r="Q38"/>
  <c r="Q186"/>
  <c r="J15"/>
  <c r="J14" s="1"/>
  <c r="J34"/>
  <c r="Q34" s="1"/>
  <c r="Q35"/>
  <c r="Q30"/>
  <c r="Q48"/>
  <c r="Q51"/>
  <c r="Q79"/>
  <c r="Q121"/>
  <c r="Q154"/>
  <c r="Q193"/>
  <c r="Q195"/>
  <c r="Q39"/>
  <c r="Q171"/>
  <c r="Q163"/>
  <c r="Q187"/>
  <c r="Q36"/>
  <c r="Q42"/>
  <c r="Q83"/>
  <c r="Q118"/>
  <c r="Q132"/>
  <c r="Q169"/>
  <c r="Q69"/>
  <c r="Q71"/>
  <c r="Q73"/>
  <c r="Q75"/>
  <c r="E15"/>
  <c r="E14" s="1"/>
  <c r="Q19"/>
  <c r="Q16"/>
  <c r="Q29"/>
  <c r="Q18"/>
  <c r="Q50"/>
  <c r="Q52"/>
  <c r="Q33"/>
  <c r="J61"/>
  <c r="J60" s="1"/>
  <c r="J107"/>
  <c r="J106" s="1"/>
  <c r="Q192"/>
  <c r="Q194"/>
  <c r="Q21"/>
  <c r="Q113"/>
  <c r="Q131"/>
  <c r="Q196"/>
  <c r="Q167"/>
  <c r="Q185"/>
  <c r="Q59"/>
  <c r="Q108"/>
  <c r="Q68"/>
  <c r="Q67"/>
  <c r="Q70"/>
  <c r="Q72"/>
  <c r="J184"/>
  <c r="J183" s="1"/>
  <c r="E107"/>
  <c r="J46"/>
  <c r="J45" s="1"/>
  <c r="E46"/>
  <c r="Q32" l="1"/>
  <c r="J32"/>
  <c r="J31" s="1"/>
  <c r="Q31" s="1"/>
  <c r="Q78"/>
  <c r="E120"/>
  <c r="E119" s="1"/>
  <c r="Q119" s="1"/>
  <c r="Q162"/>
  <c r="Q120"/>
  <c r="Q77"/>
  <c r="Q152"/>
  <c r="F199"/>
  <c r="Q15"/>
  <c r="Q14" s="1"/>
  <c r="J90"/>
  <c r="Q90" s="1"/>
  <c r="Q153"/>
  <c r="E60"/>
  <c r="Q60" s="1"/>
  <c r="Q61"/>
  <c r="E190"/>
  <c r="Q190" s="1"/>
  <c r="Q191"/>
  <c r="E106"/>
  <c r="Q106" s="1"/>
  <c r="Q107"/>
  <c r="Q183"/>
  <c r="E45"/>
  <c r="Q45" s="1"/>
  <c r="Q46"/>
  <c r="Q184"/>
  <c r="J161"/>
  <c r="Q134"/>
  <c r="J199" l="1"/>
  <c r="E199"/>
  <c r="Q161"/>
  <c r="Q199" s="1"/>
</calcChain>
</file>

<file path=xl/sharedStrings.xml><?xml version="1.0" encoding="utf-8"?>
<sst xmlns="http://schemas.openxmlformats.org/spreadsheetml/2006/main" count="719" uniqueCount="482">
  <si>
    <t>Додаток 3</t>
  </si>
  <si>
    <t>РОЗПОДІЛ</t>
  </si>
  <si>
    <t>гривень</t>
  </si>
  <si>
    <t>Загальний фонд</t>
  </si>
  <si>
    <t>Спеціальний фонд</t>
  </si>
  <si>
    <t>РАЗОМ</t>
  </si>
  <si>
    <t xml:space="preserve">видатки споживання </t>
  </si>
  <si>
    <t>видатки розвитку</t>
  </si>
  <si>
    <t>з них</t>
  </si>
  <si>
    <t xml:space="preserve"> оплата праці            </t>
  </si>
  <si>
    <t xml:space="preserve">комунальні послуги та  енергоносії  </t>
  </si>
  <si>
    <t xml:space="preserve"> оплата праці </t>
  </si>
  <si>
    <t xml:space="preserve"> комунальні послуги  та  енергоносії </t>
  </si>
  <si>
    <t>Передача із ЗФ до СФ</t>
  </si>
  <si>
    <t>0200000</t>
  </si>
  <si>
    <t>Виконавчий комітет Житомирської міської ради</t>
  </si>
  <si>
    <t>0210000</t>
  </si>
  <si>
    <t>0600000</t>
  </si>
  <si>
    <t>0610000</t>
  </si>
  <si>
    <t>0700000</t>
  </si>
  <si>
    <t>Управління охорони здоров'я Житомирської міської ради</t>
  </si>
  <si>
    <t>0710000</t>
  </si>
  <si>
    <t>0800000</t>
  </si>
  <si>
    <t xml:space="preserve">Департамент  соціальної політики Житомирської  міської ради </t>
  </si>
  <si>
    <t>0810000</t>
  </si>
  <si>
    <t>1000000</t>
  </si>
  <si>
    <t>Управління  культури Житомирської міської ради</t>
  </si>
  <si>
    <t>1010000</t>
  </si>
  <si>
    <t>1100000</t>
  </si>
  <si>
    <r>
      <t>Управління у справах сім</t>
    </r>
    <r>
      <rPr>
        <b/>
        <sz val="18"/>
        <rFont val="Arial Cyr"/>
        <charset val="204"/>
      </rPr>
      <t>’</t>
    </r>
    <r>
      <rPr>
        <b/>
        <sz val="18"/>
        <rFont val="Times New Roman"/>
        <family val="1"/>
        <charset val="204"/>
      </rPr>
      <t>ї,  молоді та спорту Житомирської міської ради</t>
    </r>
  </si>
  <si>
    <t>1110000</t>
  </si>
  <si>
    <t>1200000</t>
  </si>
  <si>
    <t xml:space="preserve">Управління житлового господарства Житомирської  міської ради </t>
  </si>
  <si>
    <t>1210000</t>
  </si>
  <si>
    <t>1400000</t>
  </si>
  <si>
    <t>Управління комунального господарства Житомирської міської ради</t>
  </si>
  <si>
    <t>1410000</t>
  </si>
  <si>
    <t>Управління капітального будівництва Житомирської міської ради</t>
  </si>
  <si>
    <t>1510000</t>
  </si>
  <si>
    <t>1600000</t>
  </si>
  <si>
    <t>Департамент містобудування та земельних відносин Житомирської міської ради</t>
  </si>
  <si>
    <t>1610000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</si>
  <si>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</si>
  <si>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</si>
  <si>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</si>
  <si>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</si>
  <si>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 xml:space="preserve">Секретар міської ради </t>
  </si>
  <si>
    <t>Департамент освіти  Житомирської  міської ради</t>
  </si>
  <si>
    <t>Код Функціональної класифікації видатків та кредитування бюджету</t>
  </si>
  <si>
    <t>усього</t>
  </si>
  <si>
    <t>у тому числі бюджет розвитку</t>
  </si>
  <si>
    <t>0210150</t>
  </si>
  <si>
    <t>0150</t>
  </si>
  <si>
    <t>0111</t>
  </si>
  <si>
    <t xml:space="preserve">Організаційне, інформаційно - 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</si>
  <si>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</si>
  <si>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</si>
  <si>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</si>
  <si>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</si>
  <si>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</si>
  <si>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</si>
  <si>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</si>
  <si>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</si>
  <si>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</si>
  <si>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</si>
  <si>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</si>
  <si>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6017</t>
  </si>
  <si>
    <t>0620</t>
  </si>
  <si>
    <t>6030</t>
  </si>
  <si>
    <t>Організація благоустрою населених пунктів</t>
  </si>
  <si>
    <t>0216084</t>
  </si>
  <si>
    <t>6084</t>
  </si>
  <si>
    <t>0610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</si>
  <si>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</si>
  <si>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</si>
  <si>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</si>
  <si>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</si>
  <si>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</si>
  <si>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7426</t>
  </si>
  <si>
    <t>0453</t>
  </si>
  <si>
    <t>Інші заходи у сфері електротранспорту</t>
  </si>
  <si>
    <t>7442</t>
  </si>
  <si>
    <t>0456</t>
  </si>
  <si>
    <t>Утримання та розвиток інших об'єктів транспортної інфраструктури</t>
  </si>
  <si>
    <t>0217530</t>
  </si>
  <si>
    <t>7530</t>
  </si>
  <si>
    <t>0460</t>
  </si>
  <si>
    <t>Інші заходи у сфері зв'язку, телекомунікації та інформатики</t>
  </si>
  <si>
    <t>0217610</t>
  </si>
  <si>
    <t>7610</t>
  </si>
  <si>
    <t>0411</t>
  </si>
  <si>
    <t>Сприяння розвитку малого та середнього підприємництва</t>
  </si>
  <si>
    <t>0217640</t>
  </si>
  <si>
    <t>7640</t>
  </si>
  <si>
    <t>0470</t>
  </si>
  <si>
    <t>Заходи з енергозбереження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</si>
  <si>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</si>
  <si>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</si>
  <si>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</si>
  <si>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</si>
  <si>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</si>
  <si>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пов'язані з економічною діяльністю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</si>
  <si>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</si>
  <si>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</si>
  <si>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</si>
  <si>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8230</t>
  </si>
  <si>
    <t>0380</t>
  </si>
  <si>
    <t>Інші заходи громадського порядку та безпеки</t>
  </si>
  <si>
    <t>0830</t>
  </si>
  <si>
    <t>0218420</t>
  </si>
  <si>
    <t>8420</t>
  </si>
  <si>
    <t>Інші заходи у сфері засобів масової інформації</t>
  </si>
  <si>
    <t>0610160</t>
  </si>
  <si>
    <t>0160</t>
  </si>
  <si>
    <t>0611010</t>
  </si>
  <si>
    <t>1010</t>
  </si>
  <si>
    <t>0910</t>
  </si>
  <si>
    <t>Надання дошкільної освіти</t>
  </si>
  <si>
    <t>0611020</t>
  </si>
  <si>
    <t>1020</t>
  </si>
  <si>
    <t>0921</t>
  </si>
  <si>
    <t>1030</t>
  </si>
  <si>
    <t>0611090</t>
  </si>
  <si>
    <t>1090</t>
  </si>
  <si>
    <t>0960</t>
  </si>
  <si>
    <t>0611110</t>
  </si>
  <si>
    <t>1110</t>
  </si>
  <si>
    <t>0930</t>
  </si>
  <si>
    <t>0611150</t>
  </si>
  <si>
    <t>1150</t>
  </si>
  <si>
    <t>0990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</si>
  <si>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</si>
  <si>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</si>
  <si>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</si>
  <si>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</si>
  <si>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</si>
  <si>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</si>
  <si>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</si>
  <si>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</si>
  <si>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</si>
  <si>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шкiл</t>
  </si>
  <si>
    <t>9770</t>
  </si>
  <si>
    <t>Інші субвенції з місцевого бюджету</t>
  </si>
  <si>
    <t>0710160</t>
  </si>
  <si>
    <t>0712010</t>
  </si>
  <si>
    <t>2010</t>
  </si>
  <si>
    <t>0731</t>
  </si>
  <si>
    <t>Багатопрофільна стаціонарна медична допомога населенню</t>
  </si>
  <si>
    <t>0712100</t>
  </si>
  <si>
    <t>2100</t>
  </si>
  <si>
    <t>0722</t>
  </si>
  <si>
    <t>Стоматологічна допомога населенню</t>
  </si>
  <si>
    <t>0712111</t>
  </si>
  <si>
    <t>2111</t>
  </si>
  <si>
    <t>0726</t>
  </si>
  <si>
    <t>0712120</t>
  </si>
  <si>
    <t>2120</t>
  </si>
  <si>
    <t>0740</t>
  </si>
  <si>
    <t>Інформаційно- методичне та просвітницьке забезпечення в галузі охорони здоровя</t>
  </si>
  <si>
    <t>0763</t>
  </si>
  <si>
    <t>0712152</t>
  </si>
  <si>
    <t>2152</t>
  </si>
  <si>
    <t>0716090</t>
  </si>
  <si>
    <t>6090</t>
  </si>
  <si>
    <t>0640</t>
  </si>
  <si>
    <t>Інша діяльність у сфері житлово-комунального господарства</t>
  </si>
  <si>
    <t>0810160</t>
  </si>
  <si>
    <t>1060</t>
  </si>
  <si>
    <t>0810180</t>
  </si>
  <si>
    <t>0813031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</si>
  <si>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</si>
  <si>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</si>
  <si>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</si>
  <si>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зв"язку</t>
  </si>
  <si>
    <t>0813036</t>
  </si>
  <si>
    <t>3036</t>
  </si>
  <si>
    <t>Компенсаційні виплати на пільговий проїзд електротранспортом  окремим категоріям громадян</t>
  </si>
  <si>
    <t>1040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</si>
  <si>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</si>
  <si>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</si>
  <si>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зв"язку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</si>
  <si>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</si>
  <si>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</si>
  <si>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</si>
  <si>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</si>
  <si>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</si>
  <si>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</si>
  <si>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</si>
  <si>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</si>
  <si>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</si>
  <si>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</si>
  <si>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</si>
  <si>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0813210</t>
  </si>
  <si>
    <t>3210</t>
  </si>
  <si>
    <t>1050</t>
  </si>
  <si>
    <t>Організація та проведення громадських робіт</t>
  </si>
  <si>
    <t>0813242</t>
  </si>
  <si>
    <t>3242</t>
  </si>
  <si>
    <t>Інші заходи у сфері соціального захисту і соціального забезпечення</t>
  </si>
  <si>
    <t>1010160</t>
  </si>
  <si>
    <t>1011100</t>
  </si>
  <si>
    <t>1100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</si>
  <si>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</si>
  <si>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</si>
  <si>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</si>
  <si>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</si>
  <si>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</si>
  <si>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</si>
  <si>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</si>
  <si>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</si>
  <si>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</si>
  <si>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</si>
  <si>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</si>
  <si>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</si>
  <si>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</si>
  <si>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</si>
  <si>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</si>
  <si>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</si>
  <si>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</si>
  <si>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</si>
  <si>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</si>
  <si>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</si>
  <si>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8330</t>
  </si>
  <si>
    <t>0540</t>
  </si>
  <si>
    <t>Інша діяльність у сфері екології та охорони природних ресурсів</t>
  </si>
  <si>
    <t>1113121</t>
  </si>
  <si>
    <t>3121</t>
  </si>
  <si>
    <t>Утримання та забезпечення діяльності центрів соціальних служб для сім’ї, дітей та молоді</t>
  </si>
  <si>
    <t>1113123</t>
  </si>
  <si>
    <t>3123</t>
  </si>
  <si>
    <t>Заходи державної політики з питань сім'ї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</si>
  <si>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</si>
  <si>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</si>
  <si>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</si>
  <si>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1113132</t>
  </si>
  <si>
    <t>3132</t>
  </si>
  <si>
    <t>Утримання клубів для підлітків за місцем проживання</t>
  </si>
  <si>
    <t>1113133</t>
  </si>
  <si>
    <t>3133</t>
  </si>
  <si>
    <t>Інші заходи та заклади молодіжної політики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</si>
  <si>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</si>
  <si>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</si>
  <si>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</si>
  <si>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1115011</t>
  </si>
  <si>
    <t>5011</t>
  </si>
  <si>
    <t>Проведення навчально-тренувальних зборів і змагань з олімпийських видів спорту</t>
  </si>
  <si>
    <t>1115012</t>
  </si>
  <si>
    <t>5012</t>
  </si>
  <si>
    <t>Проведення навчально-тренувальних зборів і змагань 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</si>
  <si>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</si>
  <si>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</si>
  <si>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</si>
  <si>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</si>
  <si>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</si>
  <si>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</si>
  <si>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</t>
  </si>
  <si>
    <t>1210160</t>
  </si>
  <si>
    <t>1216017</t>
  </si>
  <si>
    <t xml:space="preserve">Інша діяльність, пов’язана з експлуатацією об’єктів житлово-комунального господарства </t>
  </si>
  <si>
    <t>1216030</t>
  </si>
  <si>
    <t>1216090</t>
  </si>
  <si>
    <t>1218330</t>
  </si>
  <si>
    <t>1218340</t>
  </si>
  <si>
    <t>8340</t>
  </si>
  <si>
    <t>Природоохоронні заходи за рахунок цільових фондів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</si>
  <si>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</si>
  <si>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</si>
  <si>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</si>
  <si>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</si>
  <si>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1416013</t>
  </si>
  <si>
    <t>6013</t>
  </si>
  <si>
    <t>Забезпечення діяльності водопровідно-каналізаційного господарства</t>
  </si>
  <si>
    <t>1416030</t>
  </si>
  <si>
    <t>1416090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</si>
  <si>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</si>
  <si>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</si>
  <si>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</si>
  <si>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Авттономної Республіки Крим, органами місцевого самоврядування і місцевими органами виконавчої влади</t>
  </si>
  <si>
    <t>8120</t>
  </si>
  <si>
    <t>Заходи з організації рятування на водах</t>
  </si>
  <si>
    <t>1418311</t>
  </si>
  <si>
    <t>8311</t>
  </si>
  <si>
    <t>0511</t>
  </si>
  <si>
    <t>Охорона та раціональне використання природних ресурсів</t>
  </si>
  <si>
    <t>1418320</t>
  </si>
  <si>
    <t>8320</t>
  </si>
  <si>
    <t>0520</t>
  </si>
  <si>
    <t>Збереження природно-заповідного фонду</t>
  </si>
  <si>
    <t>1418330</t>
  </si>
  <si>
    <t>1610160</t>
  </si>
  <si>
    <t>1617693</t>
  </si>
  <si>
    <t>Інші заходи, пов"язані з економічною діяльністю</t>
  </si>
  <si>
    <t>3710160</t>
  </si>
  <si>
    <t>3717693</t>
  </si>
  <si>
    <t>3718600</t>
  </si>
  <si>
    <t>8600</t>
  </si>
  <si>
    <t>Обслуговування місцевого боргу</t>
  </si>
  <si>
    <t>3718700</t>
  </si>
  <si>
    <t>8700</t>
  </si>
  <si>
    <t xml:space="preserve">Резервний фонд </t>
  </si>
  <si>
    <t>3719110</t>
  </si>
  <si>
    <t>9110</t>
  </si>
  <si>
    <t>Реверсна дотація</t>
  </si>
  <si>
    <t>3719770</t>
  </si>
  <si>
    <t>Керівництво і управління у  відповідній сфері у містах (місті Києві), селищах, селах, об"єднаних територіальних громадах</t>
  </si>
  <si>
    <t>1614082</t>
  </si>
  <si>
    <t>0721</t>
  </si>
  <si>
    <t>2080</t>
  </si>
  <si>
    <t>Амбулаторно-поліклінічна допомога населенню,крім первинної медичної допомоги</t>
  </si>
  <si>
    <t>Управління транспорту і зв’язку Житомирської міської ради</t>
  </si>
  <si>
    <t>2918110</t>
  </si>
  <si>
    <t>2918230</t>
  </si>
  <si>
    <t>1917426</t>
  </si>
  <si>
    <t>1917442</t>
  </si>
  <si>
    <t>1917461</t>
  </si>
  <si>
    <t>1917691</t>
  </si>
  <si>
    <t>2916090</t>
  </si>
  <si>
    <t>Управління з питань надзвичайних ситуацій та цивільного захисту населення Житомирської міської ради</t>
  </si>
  <si>
    <t>1910160</t>
  </si>
  <si>
    <t>2910160</t>
  </si>
  <si>
    <t>2918120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</si>
  <si>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</si>
  <si>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</si>
  <si>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0216083</t>
  </si>
  <si>
    <t>до рішення міської ради</t>
  </si>
  <si>
    <t>Н.М.Чиж</t>
  </si>
  <si>
    <t>0712080</t>
  </si>
  <si>
    <t>Управління з розвитку села Вереси</t>
  </si>
  <si>
    <t>0712144</t>
  </si>
  <si>
    <t>2144</t>
  </si>
  <si>
    <t>Централізовані заходи з лікування хворих на цукровий та нецукровий діабет</t>
  </si>
  <si>
    <t>0719770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</si>
  <si>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</si>
  <si>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</si>
  <si>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</si>
  <si>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0813032</t>
  </si>
  <si>
    <t>0819770</t>
  </si>
  <si>
    <t>_______________ № __________</t>
  </si>
  <si>
    <t>Первинна  медична допомога населенню, що надається центрами первинної медичної                     (медико-санітарної) допомоги</t>
  </si>
  <si>
    <t xml:space="preserve"> </t>
  </si>
  <si>
    <t>1510160</t>
  </si>
  <si>
    <t>7670</t>
  </si>
  <si>
    <t>Внески до статутного капіталу  суб'єктів господарювання</t>
  </si>
  <si>
    <t>0443</t>
  </si>
  <si>
    <t>1117670</t>
  </si>
  <si>
    <t>1517325</t>
  </si>
  <si>
    <t>7325</t>
  </si>
  <si>
    <t>1913035</t>
  </si>
  <si>
    <t>Інші  програми та заходи у сфері охорони здоров'я</t>
  </si>
  <si>
    <t>2700000</t>
  </si>
  <si>
    <t>2710000</t>
  </si>
  <si>
    <t>2710160</t>
  </si>
  <si>
    <t>2710180</t>
  </si>
  <si>
    <t>2713242</t>
  </si>
  <si>
    <t>2714030</t>
  </si>
  <si>
    <t>2714060</t>
  </si>
  <si>
    <t>2714082</t>
  </si>
  <si>
    <t>2716030</t>
  </si>
  <si>
    <t>2717461</t>
  </si>
  <si>
    <r>
      <t>Будівництво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</t>
    </r>
    <r>
      <rPr>
        <sz val="18"/>
        <rFont val="Times New Roman"/>
        <family val="1"/>
        <charset val="204"/>
      </rPr>
      <t>споруд, установ та закладів фізичної культури і спорту</t>
    </r>
  </si>
  <si>
    <t>Х</t>
  </si>
  <si>
    <t>УСЬОГО</t>
  </si>
  <si>
    <t>0210160</t>
  </si>
  <si>
    <t>0217650</t>
  </si>
  <si>
    <t>7650</t>
  </si>
  <si>
    <t>Проведення експертної грошової оцінки земельної ділянки чи права на неї</t>
  </si>
  <si>
    <t>1517461</t>
  </si>
  <si>
    <t>6014</t>
  </si>
  <si>
    <t>1216014</t>
  </si>
  <si>
    <t>Забезпечення збору та вивезення сміття і відходів</t>
  </si>
  <si>
    <t>0611170</t>
  </si>
  <si>
    <t>1170</t>
  </si>
  <si>
    <t>Забезпечення діяльності інклюзивно-ресурсних центрів</t>
  </si>
  <si>
    <t>1418340</t>
  </si>
  <si>
    <t>видатків  бюджету Житомирської міської об'єднаної територіальної громади  на 2020 рік</t>
  </si>
  <si>
    <t xml:space="preserve"> ( код бюджету)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</si>
  <si>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</si>
  <si>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</si>
  <si>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</si>
  <si>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06552000000</t>
  </si>
  <si>
    <t>Надання соціальних нарантій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</si>
  <si>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1417670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</si>
  <si>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</si>
  <si>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</si>
  <si>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</si>
  <si>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1617130</t>
  </si>
  <si>
    <t>7130</t>
  </si>
  <si>
    <t>Здійснення заходів із землеустрою</t>
  </si>
  <si>
    <t>0421</t>
  </si>
  <si>
    <t>1517322</t>
  </si>
  <si>
    <t>7322</t>
  </si>
  <si>
    <t>1517640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</si>
  <si>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медичних установ та закладів</t>
    </r>
  </si>
  <si>
    <t xml:space="preserve">Заходи з енергозбереження </t>
  </si>
  <si>
    <t>6011</t>
  </si>
  <si>
    <t>Експлуатація та технічне обслуговування житлового фонду</t>
  </si>
  <si>
    <t>1216011</t>
  </si>
  <si>
    <t>Надання загальної середньої освіти закладами загальної середньої освіти( у тому числі з дошкільними  підрозділами (відділеннями, групами))</t>
  </si>
  <si>
    <t>Надання позашкільної освіти закладами  позашкільної освіти, заходи із позашкільної роботи з дітьми</t>
  </si>
  <si>
    <t xml:space="preserve">Методичне забезпечення діяльності закладів освіти </t>
  </si>
  <si>
    <t>Надання спеціальної освіти мистецькими школами</t>
  </si>
  <si>
    <t>1115062</t>
  </si>
  <si>
    <t>5062</t>
  </si>
  <si>
    <t>підтримка спорту виищих досягнень та організацій, які здійснюють фізкультурно-спортивну діяльність в регіоні</t>
  </si>
  <si>
    <t>1217310</t>
  </si>
  <si>
    <t>7310</t>
  </si>
  <si>
    <t>1917370</t>
  </si>
  <si>
    <t>Будівництво об'єктів житлово-комунального господарства</t>
  </si>
  <si>
    <t>1417310</t>
  </si>
  <si>
    <t>Будівництво1 об'єктів житлово-комунального господарства</t>
  </si>
  <si>
    <t>Внески до статутного капіталу суб"єктів господарювання</t>
  </si>
  <si>
    <t>1617660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</si>
  <si>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</si>
  <si>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</si>
  <si>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1517310</t>
  </si>
  <si>
    <r>
      <t>Будівництво</t>
    </r>
    <r>
      <rPr>
        <sz val="14"/>
        <rFont val="Calibri"/>
        <family val="2"/>
        <charset val="204"/>
      </rPr>
      <t>¹ об</t>
    </r>
    <r>
      <rPr>
        <sz val="14"/>
        <rFont val="Times New Roman"/>
        <family val="1"/>
        <charset val="204"/>
      </rPr>
      <t>'</t>
    </r>
    <r>
      <rPr>
        <sz val="14"/>
        <rFont val="Calibri"/>
        <family val="2"/>
        <charset val="204"/>
      </rPr>
      <t>єктів житлово-комунального господарства</t>
    </r>
  </si>
  <si>
    <t>1517321</t>
  </si>
  <si>
    <t>7321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</si>
  <si>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освітніх  установ та закладів</t>
    </r>
  </si>
  <si>
    <r>
      <t>Будівництво</t>
    </r>
    <r>
      <rPr>
        <sz val="14"/>
        <rFont val="Calibri"/>
        <family val="2"/>
        <charset val="204"/>
      </rPr>
      <t>¹</t>
    </r>
    <r>
      <rPr>
        <sz val="14"/>
        <rFont val="Times New Roman"/>
        <family val="1"/>
        <charset val="204"/>
      </rPr>
      <t xml:space="preserve"> інших об'єктів комунальної власності </t>
    </r>
  </si>
  <si>
    <t>1517330</t>
  </si>
  <si>
    <t>7330</t>
  </si>
  <si>
    <t>1917670</t>
  </si>
  <si>
    <t>0617321</t>
  </si>
  <si>
    <t>Підготовка   кадрів закладами  професійної (професійно--технічної) освіти  та іншими закладами освіти</t>
  </si>
  <si>
    <t>1517363</t>
  </si>
  <si>
    <t>7363</t>
  </si>
  <si>
    <t>Виконання інвестиційних проєктів в рамках здійснення заходів щодо соціально-економічного розвитку окремих територій</t>
  </si>
  <si>
    <t>1517361</t>
  </si>
  <si>
    <t>7361</t>
  </si>
  <si>
    <t>Співфінансування  інвестиційних проектів, що реалізуються за рахунок коштів державного фонду регіонального розвитку</t>
  </si>
  <si>
    <t>1511020</t>
  </si>
  <si>
    <t>1519730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</si>
  <si>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</si>
  <si>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9730</t>
  </si>
  <si>
    <t>1418110</t>
  </si>
  <si>
    <t>1517462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</si>
  <si>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</si>
  <si>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</si>
  <si>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1900000</t>
  </si>
  <si>
    <t>1910000</t>
  </si>
  <si>
    <t>2900000</t>
  </si>
  <si>
    <t>2910000</t>
  </si>
  <si>
    <t>0712151</t>
  </si>
  <si>
    <t>2151</t>
  </si>
  <si>
    <t>Забезпечення діяльності інших закладів  у яфері охорони здоров'я</t>
  </si>
  <si>
    <t>1218110</t>
  </si>
  <si>
    <t>1918110</t>
  </si>
  <si>
    <t>1017130</t>
  </si>
  <si>
    <t>1018320</t>
  </si>
  <si>
    <t>1617340</t>
  </si>
  <si>
    <t>7340</t>
  </si>
  <si>
    <t>Проектування, реставрація та охорона пам'яток архітектури</t>
  </si>
  <si>
    <t>1113122</t>
  </si>
  <si>
    <t>3122</t>
  </si>
  <si>
    <t>1617330</t>
  </si>
  <si>
    <t>Заходи державної політики із забезпечення рівних прав та можливостей жінок і чоловіків</t>
  </si>
  <si>
    <t>Будівництво інших об'єктів комунальної власності</t>
  </si>
  <si>
    <t>1216015</t>
  </si>
  <si>
    <t>Забезпечення надійної та безперебійної експлуатації ліфтів</t>
  </si>
  <si>
    <t>6015</t>
  </si>
  <si>
    <t>1417130</t>
  </si>
  <si>
    <t>1517323</t>
  </si>
  <si>
    <t>7323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</si>
  <si>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 xml:space="preserve"> установ та закладів соціальної сфери</t>
    </r>
  </si>
  <si>
    <t>0618340</t>
  </si>
  <si>
    <t>1018340</t>
  </si>
  <si>
    <t>1511010</t>
  </si>
  <si>
    <t>1511180</t>
  </si>
  <si>
    <t>1180</t>
  </si>
  <si>
    <t>Виконання заходів в рамках реалізації програми "Спроможна школа для кращих результатів</t>
  </si>
  <si>
    <t>0813221</t>
  </si>
  <si>
    <t>3221</t>
  </si>
  <si>
    <r>
      <t>Грошова компенсація за належні для отримання жилі приміщення для сімей осіб, визначених абзацами 5 - 8</t>
    </r>
    <r>
      <rPr>
        <sz val="14"/>
        <color rgb="FF293A55"/>
        <rFont val="Arial"/>
        <family val="2"/>
        <charset val="204"/>
      </rPr>
      <t> </t>
    </r>
    <r>
      <rPr>
        <sz val="14"/>
        <color rgb="FF000000"/>
        <rFont val="Times New Roman"/>
        <family val="1"/>
        <charset val="204"/>
      </rPr>
      <t>пункту 1 статті 10 Закону України "Про статус ветеранів війни, гарантії їх соціального захисту"</t>
    </r>
    <r>
      <rPr>
        <sz val="14"/>
        <rFont val="Times New Roman"/>
        <family val="1"/>
        <charset val="204"/>
      </rPr>
      <t>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</t>
    </r>
    <r>
      <rPr>
        <sz val="14"/>
        <color rgb="FF293A55"/>
        <rFont val="Arial"/>
        <family val="2"/>
        <charset val="204"/>
      </rPr>
      <t> </t>
    </r>
    <r>
      <rPr>
        <sz val="14"/>
        <color rgb="FF000000"/>
        <rFont val="Times New Roman"/>
        <family val="1"/>
        <charset val="204"/>
      </rPr>
      <t>пунктами 11 - 14 частини другої статті 7 Закону України "Про статус ветеранів війни, гарантії їх соціального захисту"</t>
    </r>
    <r>
      <rPr>
        <sz val="14"/>
        <rFont val="Times New Roman"/>
        <family val="1"/>
        <charset val="204"/>
      </rPr>
      <t>, та які потребують поліпшення житлових умов</t>
    </r>
  </si>
  <si>
    <t>0719750</t>
  </si>
  <si>
    <t>9750</t>
  </si>
  <si>
    <t>0217130</t>
  </si>
  <si>
    <t>0717670</t>
  </si>
  <si>
    <t>Внески до статутного капіталу об'єктів господарювання</t>
  </si>
  <si>
    <t>Субвенція з місцевого бюджету на співфінансування інвестиційних проектів</t>
  </si>
  <si>
    <t>Директор департаменту бюджету та фінансів Житомирської міської ради</t>
  </si>
  <si>
    <t>Д.А.Прохорчук</t>
  </si>
</sst>
</file>

<file path=xl/styles.xml><?xml version="1.0" encoding="utf-8"?>
<styleSheet xmlns="http://schemas.openxmlformats.org/spreadsheetml/2006/main">
  <numFmts count="2">
    <numFmt numFmtId="164" formatCode="_-* #,##0.00\ _г_р_н_._-;\-* #,##0.00\ _г_р_н_._-;_-* &quot;-&quot;??\ _г_р_н_._-;_-@_-"/>
    <numFmt numFmtId="165" formatCode="_-* #,##0.000_р_._-;\-* #,##0.000_р_._-;_-* &quot;-&quot;?_р_._-;_-@_-"/>
  </numFmts>
  <fonts count="57">
    <font>
      <sz val="10"/>
      <name val="Arial Cyr"/>
      <charset val="204"/>
    </font>
    <font>
      <sz val="10"/>
      <name val="Arial Cyr"/>
      <charset val="204"/>
    </font>
    <font>
      <sz val="20"/>
      <name val="Arial Cyr"/>
      <charset val="204"/>
    </font>
    <font>
      <b/>
      <sz val="20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24"/>
      <name val="Arial Cyr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4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 Cyr"/>
      <charset val="204"/>
    </font>
    <font>
      <b/>
      <sz val="14"/>
      <name val="Arial Cyr"/>
      <charset val="204"/>
    </font>
    <font>
      <sz val="18"/>
      <name val="Times New Roman"/>
      <family val="1"/>
      <charset val="204"/>
    </font>
    <font>
      <sz val="18"/>
      <name val="Times New Roman"/>
      <family val="1"/>
    </font>
    <font>
      <b/>
      <sz val="18"/>
      <name val="Arial Cyr"/>
      <charset val="204"/>
    </font>
    <font>
      <b/>
      <sz val="20"/>
      <name val="Arial Cyr"/>
      <charset val="204"/>
    </font>
    <font>
      <sz val="18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30"/>
      <name val="Times New Roman"/>
      <family val="1"/>
    </font>
    <font>
      <b/>
      <sz val="40"/>
      <name val="Times New Roman"/>
      <family val="1"/>
      <charset val="204"/>
    </font>
    <font>
      <sz val="40"/>
      <name val="Arial Cyr"/>
      <charset val="204"/>
    </font>
    <font>
      <b/>
      <sz val="35"/>
      <name val="Times New Roman"/>
      <family val="1"/>
      <charset val="204"/>
    </font>
    <font>
      <b/>
      <sz val="35"/>
      <name val="Arial Cyr"/>
      <charset val="204"/>
    </font>
    <font>
      <sz val="35"/>
      <name val="Arial Cyr"/>
      <charset val="204"/>
    </font>
    <font>
      <sz val="3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33"/>
      <name val="Times New Roman"/>
      <family val="1"/>
      <charset val="204"/>
    </font>
    <font>
      <sz val="33"/>
      <name val="Times New Roman"/>
      <family val="1"/>
      <charset val="204"/>
    </font>
    <font>
      <b/>
      <sz val="33"/>
      <color indexed="10"/>
      <name val="Times New Roman"/>
      <family val="1"/>
      <charset val="204"/>
    </font>
    <font>
      <sz val="26"/>
      <name val="Times New Roman"/>
      <family val="1"/>
      <charset val="204"/>
    </font>
    <font>
      <sz val="14"/>
      <name val="Calibri"/>
      <family val="2"/>
      <charset val="204"/>
    </font>
    <font>
      <sz val="14"/>
      <color rgb="FF293A55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7" fillId="3" borderId="0" applyNumberFormat="0" applyBorder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1" applyNumberFormat="0" applyAlignment="0" applyProtection="0"/>
    <xf numFmtId="0" fontId="36" fillId="0" borderId="6" applyNumberFormat="0" applyFill="0" applyAlignment="0" applyProtection="0"/>
    <xf numFmtId="0" fontId="37" fillId="22" borderId="0" applyNumberFormat="0" applyBorder="0" applyAlignment="0" applyProtection="0"/>
    <xf numFmtId="0" fontId="1" fillId="23" borderId="7" applyNumberFormat="0" applyFont="0" applyAlignment="0" applyProtection="0"/>
    <xf numFmtId="0" fontId="38" fillId="20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/>
    <xf numFmtId="0" fontId="11" fillId="0" borderId="0" xfId="0" applyFont="1" applyFill="1" applyAlignment="1">
      <alignment horizontal="center"/>
    </xf>
    <xf numFmtId="0" fontId="18" fillId="0" borderId="0" xfId="0" applyFont="1" applyFill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/>
    <xf numFmtId="49" fontId="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0" fontId="24" fillId="0" borderId="0" xfId="0" applyFont="1" applyFill="1" applyBorder="1"/>
    <xf numFmtId="49" fontId="14" fillId="0" borderId="0" xfId="0" applyNumberFormat="1" applyFont="1" applyFill="1" applyBorder="1"/>
    <xf numFmtId="164" fontId="24" fillId="0" borderId="0" xfId="0" applyNumberFormat="1" applyFont="1" applyFill="1" applyBorder="1"/>
    <xf numFmtId="0" fontId="19" fillId="0" borderId="0" xfId="0" applyFont="1" applyFill="1" applyBorder="1"/>
    <xf numFmtId="49" fontId="2" fillId="0" borderId="0" xfId="0" applyNumberFormat="1" applyFont="1" applyFill="1" applyBorder="1"/>
    <xf numFmtId="0" fontId="23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3" fillId="0" borderId="0" xfId="0" applyFont="1" applyFill="1" applyAlignment="1">
      <alignment vertical="center" wrapText="1"/>
    </xf>
    <xf numFmtId="0" fontId="13" fillId="0" borderId="0" xfId="0" applyFont="1" applyFill="1" applyBorder="1"/>
    <xf numFmtId="0" fontId="13" fillId="0" borderId="0" xfId="0" applyFont="1" applyFill="1"/>
    <xf numFmtId="0" fontId="12" fillId="0" borderId="0" xfId="0" applyFont="1" applyFill="1" applyAlignment="1">
      <alignment horizontal="right" vertical="center"/>
    </xf>
    <xf numFmtId="0" fontId="18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/>
    <xf numFmtId="0" fontId="46" fillId="0" borderId="0" xfId="0" applyFont="1" applyFill="1"/>
    <xf numFmtId="0" fontId="45" fillId="0" borderId="0" xfId="0" applyFont="1" applyFill="1"/>
    <xf numFmtId="0" fontId="45" fillId="0" borderId="0" xfId="0" applyFont="1" applyFill="1" applyAlignment="1">
      <alignment horizontal="right" wrapText="1"/>
    </xf>
    <xf numFmtId="0" fontId="45" fillId="0" borderId="0" xfId="0" applyFont="1" applyFill="1" applyAlignment="1">
      <alignment horizontal="left"/>
    </xf>
    <xf numFmtId="0" fontId="45" fillId="0" borderId="0" xfId="0" applyFont="1" applyFill="1" applyAlignment="1">
      <alignment wrapText="1"/>
    </xf>
    <xf numFmtId="0" fontId="47" fillId="0" borderId="0" xfId="0" applyFont="1" applyFill="1"/>
    <xf numFmtId="0" fontId="48" fillId="0" borderId="0" xfId="0" applyFont="1" applyFill="1" applyBorder="1"/>
    <xf numFmtId="0" fontId="48" fillId="0" borderId="0" xfId="0" applyFont="1" applyFill="1" applyAlignment="1">
      <alignment horizontal="left" vertical="center"/>
    </xf>
    <xf numFmtId="0" fontId="48" fillId="0" borderId="0" xfId="0" applyFont="1" applyFill="1" applyAlignment="1"/>
    <xf numFmtId="0" fontId="53" fillId="0" borderId="0" xfId="0" applyFont="1" applyFill="1" applyBorder="1" applyAlignment="1"/>
    <xf numFmtId="0" fontId="24" fillId="0" borderId="15" xfId="0" applyFont="1" applyFill="1" applyBorder="1" applyAlignment="1">
      <alignment vertical="center"/>
    </xf>
    <xf numFmtId="49" fontId="9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4" fontId="50" fillId="0" borderId="10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vertical="center"/>
    </xf>
    <xf numFmtId="0" fontId="19" fillId="0" borderId="10" xfId="0" applyFont="1" applyFill="1" applyBorder="1" applyAlignment="1">
      <alignment horizontal="left" vertical="center" wrapText="1"/>
    </xf>
    <xf numFmtId="4" fontId="51" fillId="0" borderId="10" xfId="0" applyNumberFormat="1" applyFont="1" applyFill="1" applyBorder="1" applyAlignment="1">
      <alignment horizontal="center" vertical="center" wrapText="1"/>
    </xf>
    <xf numFmtId="0" fontId="19" fillId="0" borderId="10" xfId="45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left" vertical="center" wrapText="1"/>
    </xf>
    <xf numFmtId="4" fontId="52" fillId="0" borderId="10" xfId="0" applyNumberFormat="1" applyFont="1" applyFill="1" applyBorder="1" applyAlignment="1">
      <alignment horizontal="center" vertical="center" wrapText="1"/>
    </xf>
    <xf numFmtId="49" fontId="14" fillId="0" borderId="10" xfId="43" applyNumberFormat="1" applyFont="1" applyFill="1" applyBorder="1" applyAlignment="1">
      <alignment horizontal="center" vertical="center"/>
    </xf>
    <xf numFmtId="0" fontId="19" fillId="0" borderId="10" xfId="43" applyFont="1" applyFill="1" applyBorder="1" applyAlignment="1">
      <alignment horizontal="left" vertical="center" wrapText="1"/>
    </xf>
    <xf numFmtId="165" fontId="19" fillId="0" borderId="10" xfId="0" applyNumberFormat="1" applyFont="1" applyFill="1" applyBorder="1" applyAlignment="1">
      <alignment vertical="center" wrapText="1"/>
    </xf>
    <xf numFmtId="0" fontId="19" fillId="0" borderId="10" xfId="42" applyFont="1" applyFill="1" applyBorder="1" applyAlignment="1">
      <alignment horizontal="left" vertical="center" wrapText="1"/>
    </xf>
    <xf numFmtId="0" fontId="19" fillId="0" borderId="10" xfId="46" applyFont="1" applyFill="1" applyBorder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9" fillId="0" borderId="10" xfId="0" applyFont="1" applyFill="1" applyBorder="1" applyAlignment="1">
      <alignment horizontal="center" vertical="center" wrapText="1"/>
    </xf>
    <xf numFmtId="165" fontId="24" fillId="0" borderId="10" xfId="0" applyNumberFormat="1" applyFont="1" applyFill="1" applyBorder="1" applyAlignment="1">
      <alignment vertical="center" wrapText="1"/>
    </xf>
    <xf numFmtId="49" fontId="14" fillId="0" borderId="10" xfId="44" applyNumberFormat="1" applyFont="1" applyFill="1" applyBorder="1" applyAlignment="1">
      <alignment horizontal="center" vertical="center"/>
    </xf>
    <xf numFmtId="0" fontId="19" fillId="0" borderId="10" xfId="44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left" vertical="center" wrapText="1"/>
    </xf>
    <xf numFmtId="49" fontId="14" fillId="0" borderId="12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vertical="center" wrapText="1"/>
    </xf>
    <xf numFmtId="0" fontId="20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49" fontId="14" fillId="0" borderId="10" xfId="0" quotePrefix="1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left" wrapText="1"/>
    </xf>
    <xf numFmtId="49" fontId="48" fillId="0" borderId="0" xfId="0" applyNumberFormat="1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left" vertical="center"/>
    </xf>
    <xf numFmtId="0" fontId="45" fillId="0" borderId="0" xfId="0" applyFont="1" applyFill="1" applyAlignment="1">
      <alignment horizontal="left" wrapText="1"/>
    </xf>
    <xf numFmtId="49" fontId="48" fillId="0" borderId="0" xfId="0" applyNumberFormat="1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left" vertical="center" wrapText="1"/>
    </xf>
    <xf numFmtId="0" fontId="43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0" fontId="15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49" fontId="53" fillId="0" borderId="0" xfId="0" applyNumberFormat="1" applyFont="1" applyFill="1" applyBorder="1" applyAlignment="1">
      <alignment horizontal="center"/>
    </xf>
  </cellXfs>
  <cellStyles count="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10" xfId="42"/>
    <cellStyle name="Обычный 11" xfId="46"/>
    <cellStyle name="Обычный 16" xfId="44"/>
    <cellStyle name="Обычный 8" xfId="45"/>
    <cellStyle name="Обычный 9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9"/>
  <sheetViews>
    <sheetView showZeros="0" tabSelected="1" view="pageBreakPreview" topLeftCell="A4" zoomScale="30" zoomScaleNormal="57" zoomScaleSheetLayoutView="30" zoomScalePageLayoutView="55" workbookViewId="0">
      <pane xSplit="4" ySplit="9" topLeftCell="E111" activePane="bottomRight" state="frozen"/>
      <selection activeCell="A4" sqref="A4"/>
      <selection pane="topRight" activeCell="E4" sqref="E4"/>
      <selection pane="bottomLeft" activeCell="A13" sqref="A13"/>
      <selection pane="bottomRight" activeCell="N198" sqref="N198"/>
    </sheetView>
  </sheetViews>
  <sheetFormatPr defaultColWidth="9.140625" defaultRowHeight="25.5"/>
  <cols>
    <col min="1" max="1" width="18.28515625" style="1" customWidth="1"/>
    <col min="2" max="2" width="11.42578125" style="2" customWidth="1"/>
    <col min="3" max="3" width="13.140625" style="2" customWidth="1"/>
    <col min="4" max="4" width="35.28515625" style="16" customWidth="1"/>
    <col min="5" max="5" width="51.42578125" style="29" customWidth="1"/>
    <col min="6" max="6" width="51.140625" style="29" customWidth="1"/>
    <col min="7" max="7" width="53.140625" style="29" customWidth="1"/>
    <col min="8" max="8" width="47.28515625" style="29" customWidth="1"/>
    <col min="9" max="9" width="46.140625" style="29" customWidth="1"/>
    <col min="10" max="10" width="47.7109375" style="29" customWidth="1"/>
    <col min="11" max="11" width="46.28515625" style="29" customWidth="1"/>
    <col min="12" max="12" width="44" style="29" customWidth="1"/>
    <col min="13" max="13" width="38.5703125" style="29" customWidth="1"/>
    <col min="14" max="14" width="39" style="29" customWidth="1"/>
    <col min="15" max="15" width="47.140625" style="29" customWidth="1"/>
    <col min="16" max="16" width="34.28515625" style="29" hidden="1" customWidth="1"/>
    <col min="17" max="17" width="52.140625" style="29" customWidth="1"/>
    <col min="18" max="16384" width="9.140625" style="29"/>
  </cols>
  <sheetData>
    <row r="1" spans="1:17" s="6" customFormat="1" ht="34.5" customHeight="1">
      <c r="A1" s="1"/>
      <c r="B1" s="2"/>
      <c r="C1" s="3"/>
      <c r="D1" s="4"/>
      <c r="E1" s="5"/>
      <c r="F1" s="5"/>
      <c r="G1" s="5"/>
      <c r="H1" s="5"/>
      <c r="I1" s="5"/>
      <c r="J1" s="5"/>
      <c r="K1" s="5"/>
      <c r="L1" s="5"/>
      <c r="M1" s="5"/>
      <c r="O1" s="85" t="s">
        <v>0</v>
      </c>
      <c r="P1" s="85"/>
      <c r="Q1" s="85"/>
    </row>
    <row r="2" spans="1:17" s="6" customFormat="1" ht="40.700000000000003" customHeight="1">
      <c r="A2" s="1"/>
      <c r="B2" s="2"/>
      <c r="C2" s="3"/>
      <c r="D2" s="4"/>
      <c r="E2" s="5"/>
      <c r="F2" s="5"/>
      <c r="G2" s="5"/>
      <c r="H2" s="5"/>
      <c r="I2" s="5"/>
      <c r="J2" s="5"/>
      <c r="K2" s="5"/>
      <c r="L2" s="5"/>
      <c r="M2" s="5"/>
      <c r="O2" s="85" t="s">
        <v>324</v>
      </c>
      <c r="P2" s="85"/>
      <c r="Q2" s="85"/>
    </row>
    <row r="3" spans="1:17" s="6" customFormat="1" ht="46.5" customHeight="1">
      <c r="A3" s="1"/>
      <c r="B3" s="2"/>
      <c r="C3" s="3"/>
      <c r="D3" s="4"/>
      <c r="E3" s="5"/>
      <c r="F3" s="5"/>
      <c r="G3" s="5"/>
      <c r="H3" s="5"/>
      <c r="I3" s="5"/>
      <c r="J3" s="5"/>
      <c r="K3" s="5"/>
      <c r="L3" s="5"/>
      <c r="M3" s="5"/>
      <c r="O3" s="85" t="s">
        <v>337</v>
      </c>
      <c r="P3" s="85"/>
      <c r="Q3" s="85"/>
    </row>
    <row r="4" spans="1:17" s="6" customFormat="1" ht="16.5" customHeight="1">
      <c r="A4" s="1"/>
      <c r="B4" s="2"/>
      <c r="C4" s="3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P4" s="7"/>
      <c r="Q4" s="7"/>
    </row>
    <row r="5" spans="1:17" s="8" customFormat="1" ht="51" customHeight="1">
      <c r="A5" s="86" t="s">
        <v>1</v>
      </c>
      <c r="B5" s="86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</row>
    <row r="6" spans="1:17" s="8" customFormat="1" ht="48" customHeight="1">
      <c r="A6" s="86" t="s">
        <v>374</v>
      </c>
      <c r="B6" s="86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</row>
    <row r="7" spans="1:17" s="26" customFormat="1" ht="37.5" customHeight="1">
      <c r="A7" s="93" t="s">
        <v>379</v>
      </c>
      <c r="B7" s="93"/>
      <c r="C7" s="93"/>
      <c r="D7" s="40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27" t="s">
        <v>2</v>
      </c>
    </row>
    <row r="8" spans="1:17" s="26" customFormat="1" ht="37.5" customHeight="1">
      <c r="A8" s="79" t="s">
        <v>375</v>
      </c>
      <c r="B8" s="79"/>
      <c r="C8" s="79"/>
      <c r="D8" s="41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27"/>
    </row>
    <row r="9" spans="1:17" s="26" customFormat="1" ht="38.25" customHeight="1">
      <c r="A9" s="84" t="s">
        <v>377</v>
      </c>
      <c r="B9" s="84" t="s">
        <v>376</v>
      </c>
      <c r="C9" s="84" t="s">
        <v>48</v>
      </c>
      <c r="D9" s="88" t="s">
        <v>378</v>
      </c>
      <c r="E9" s="80" t="s">
        <v>3</v>
      </c>
      <c r="F9" s="80"/>
      <c r="G9" s="80"/>
      <c r="H9" s="80"/>
      <c r="I9" s="89"/>
      <c r="J9" s="80" t="s">
        <v>4</v>
      </c>
      <c r="K9" s="80"/>
      <c r="L9" s="80"/>
      <c r="M9" s="80"/>
      <c r="N9" s="80"/>
      <c r="O9" s="80"/>
      <c r="P9" s="72"/>
      <c r="Q9" s="80" t="s">
        <v>5</v>
      </c>
    </row>
    <row r="10" spans="1:17" s="26" customFormat="1" ht="58.7" customHeight="1">
      <c r="A10" s="84"/>
      <c r="B10" s="84"/>
      <c r="C10" s="84"/>
      <c r="D10" s="88"/>
      <c r="E10" s="80" t="s">
        <v>49</v>
      </c>
      <c r="F10" s="80" t="s">
        <v>6</v>
      </c>
      <c r="G10" s="80" t="s">
        <v>8</v>
      </c>
      <c r="H10" s="80"/>
      <c r="I10" s="80" t="s">
        <v>7</v>
      </c>
      <c r="J10" s="80" t="s">
        <v>49</v>
      </c>
      <c r="K10" s="90" t="s">
        <v>50</v>
      </c>
      <c r="L10" s="80" t="s">
        <v>6</v>
      </c>
      <c r="M10" s="80" t="s">
        <v>8</v>
      </c>
      <c r="N10" s="80"/>
      <c r="O10" s="80" t="s">
        <v>7</v>
      </c>
      <c r="P10" s="72"/>
      <c r="Q10" s="80"/>
    </row>
    <row r="11" spans="1:17" s="26" customFormat="1" ht="35.25" customHeight="1">
      <c r="A11" s="84"/>
      <c r="B11" s="84"/>
      <c r="C11" s="84"/>
      <c r="D11" s="88"/>
      <c r="E11" s="80"/>
      <c r="F11" s="80"/>
      <c r="G11" s="80" t="s">
        <v>9</v>
      </c>
      <c r="H11" s="80" t="s">
        <v>10</v>
      </c>
      <c r="I11" s="80"/>
      <c r="J11" s="80"/>
      <c r="K11" s="91"/>
      <c r="L11" s="80"/>
      <c r="M11" s="80" t="s">
        <v>11</v>
      </c>
      <c r="N11" s="80" t="s">
        <v>12</v>
      </c>
      <c r="O11" s="80"/>
      <c r="P11" s="72"/>
      <c r="Q11" s="89"/>
    </row>
    <row r="12" spans="1:17" s="26" customFormat="1" ht="356.25" customHeight="1">
      <c r="A12" s="84"/>
      <c r="B12" s="84"/>
      <c r="C12" s="84"/>
      <c r="D12" s="88"/>
      <c r="E12" s="80"/>
      <c r="F12" s="80"/>
      <c r="G12" s="80"/>
      <c r="H12" s="80"/>
      <c r="I12" s="80"/>
      <c r="J12" s="80"/>
      <c r="K12" s="92"/>
      <c r="L12" s="80"/>
      <c r="M12" s="80"/>
      <c r="N12" s="80"/>
      <c r="O12" s="80"/>
      <c r="P12" s="77" t="s">
        <v>13</v>
      </c>
      <c r="Q12" s="89"/>
    </row>
    <row r="13" spans="1:17" s="26" customFormat="1" ht="45.95" customHeight="1">
      <c r="A13" s="75">
        <v>1</v>
      </c>
      <c r="B13" s="75">
        <v>2</v>
      </c>
      <c r="C13" s="75">
        <v>3</v>
      </c>
      <c r="D13" s="76">
        <v>4</v>
      </c>
      <c r="E13" s="72">
        <v>5</v>
      </c>
      <c r="F13" s="72">
        <v>6</v>
      </c>
      <c r="G13" s="72">
        <v>7</v>
      </c>
      <c r="H13" s="72">
        <v>8</v>
      </c>
      <c r="I13" s="72">
        <v>9</v>
      </c>
      <c r="J13" s="72">
        <v>10</v>
      </c>
      <c r="K13" s="78">
        <v>11</v>
      </c>
      <c r="L13" s="72">
        <v>12</v>
      </c>
      <c r="M13" s="72">
        <v>13</v>
      </c>
      <c r="N13" s="72">
        <v>14</v>
      </c>
      <c r="O13" s="72">
        <v>15</v>
      </c>
      <c r="P13" s="77"/>
      <c r="Q13" s="77">
        <v>16</v>
      </c>
    </row>
    <row r="14" spans="1:17" s="10" customFormat="1" ht="105.75" customHeight="1">
      <c r="A14" s="42" t="s">
        <v>14</v>
      </c>
      <c r="B14" s="42"/>
      <c r="C14" s="42"/>
      <c r="D14" s="43" t="s">
        <v>15</v>
      </c>
      <c r="E14" s="44">
        <f>E15</f>
        <v>92712494.189999998</v>
      </c>
      <c r="F14" s="44">
        <f t="shared" ref="F14:Q14" si="0">F15</f>
        <v>84289202.189999998</v>
      </c>
      <c r="G14" s="44">
        <f t="shared" si="0"/>
        <v>58935157</v>
      </c>
      <c r="H14" s="44">
        <f t="shared" si="0"/>
        <v>2237539</v>
      </c>
      <c r="I14" s="44">
        <f t="shared" si="0"/>
        <v>8423292</v>
      </c>
      <c r="J14" s="44">
        <f t="shared" si="0"/>
        <v>6040650</v>
      </c>
      <c r="K14" s="44">
        <f t="shared" si="0"/>
        <v>6011850</v>
      </c>
      <c r="L14" s="44">
        <f t="shared" si="0"/>
        <v>0</v>
      </c>
      <c r="M14" s="44">
        <f t="shared" si="0"/>
        <v>0</v>
      </c>
      <c r="N14" s="44">
        <f t="shared" si="0"/>
        <v>0</v>
      </c>
      <c r="O14" s="44">
        <f t="shared" si="0"/>
        <v>6040650</v>
      </c>
      <c r="P14" s="44">
        <f t="shared" si="0"/>
        <v>0</v>
      </c>
      <c r="Q14" s="44">
        <f t="shared" si="0"/>
        <v>98753144.189999998</v>
      </c>
    </row>
    <row r="15" spans="1:17" s="10" customFormat="1" ht="114" customHeight="1">
      <c r="A15" s="42" t="s">
        <v>16</v>
      </c>
      <c r="B15" s="42"/>
      <c r="C15" s="42"/>
      <c r="D15" s="43" t="s">
        <v>15</v>
      </c>
      <c r="E15" s="44">
        <f t="shared" ref="E15:P15" si="1">SUM(E16:E30)</f>
        <v>92712494.189999998</v>
      </c>
      <c r="F15" s="44">
        <f t="shared" si="1"/>
        <v>84289202.189999998</v>
      </c>
      <c r="G15" s="44">
        <f t="shared" si="1"/>
        <v>58935157</v>
      </c>
      <c r="H15" s="44">
        <f t="shared" si="1"/>
        <v>2237539</v>
      </c>
      <c r="I15" s="44">
        <f t="shared" si="1"/>
        <v>8423292</v>
      </c>
      <c r="J15" s="44">
        <f t="shared" si="1"/>
        <v>6040650</v>
      </c>
      <c r="K15" s="44">
        <f t="shared" si="1"/>
        <v>6011850</v>
      </c>
      <c r="L15" s="44">
        <f t="shared" si="1"/>
        <v>0</v>
      </c>
      <c r="M15" s="44">
        <f t="shared" si="1"/>
        <v>0</v>
      </c>
      <c r="N15" s="44">
        <f t="shared" si="1"/>
        <v>0</v>
      </c>
      <c r="O15" s="44">
        <f t="shared" si="1"/>
        <v>6040650</v>
      </c>
      <c r="P15" s="44">
        <f t="shared" si="1"/>
        <v>0</v>
      </c>
      <c r="Q15" s="44">
        <f t="shared" ref="Q15:Q65" si="2">+E15+J15</f>
        <v>98753144.189999998</v>
      </c>
    </row>
    <row r="16" spans="1:17" s="26" customFormat="1" ht="298.5" customHeight="1">
      <c r="A16" s="45" t="s">
        <v>51</v>
      </c>
      <c r="B16" s="45" t="s">
        <v>52</v>
      </c>
      <c r="C16" s="46" t="s">
        <v>53</v>
      </c>
      <c r="D16" s="47" t="s">
        <v>54</v>
      </c>
      <c r="E16" s="48">
        <f>F16+I16</f>
        <v>76783294</v>
      </c>
      <c r="F16" s="48">
        <f>77888480+2500-1007686-100000</f>
        <v>76783294</v>
      </c>
      <c r="G16" s="48">
        <f>59149142-825972</f>
        <v>58323170</v>
      </c>
      <c r="H16" s="48">
        <v>2145666</v>
      </c>
      <c r="I16" s="48"/>
      <c r="J16" s="48">
        <f t="shared" ref="J16" si="3">L16+O16</f>
        <v>411000</v>
      </c>
      <c r="K16" s="48">
        <f>600000+170000-359000</f>
        <v>411000</v>
      </c>
      <c r="L16" s="48"/>
      <c r="M16" s="48"/>
      <c r="N16" s="48"/>
      <c r="O16" s="48">
        <f>600000+170000-359000</f>
        <v>411000</v>
      </c>
      <c r="P16" s="48"/>
      <c r="Q16" s="44">
        <f t="shared" si="2"/>
        <v>77194294</v>
      </c>
    </row>
    <row r="17" spans="1:17" s="26" customFormat="1" ht="228" customHeight="1">
      <c r="A17" s="45" t="s">
        <v>362</v>
      </c>
      <c r="B17" s="45" t="s">
        <v>113</v>
      </c>
      <c r="C17" s="46" t="s">
        <v>53</v>
      </c>
      <c r="D17" s="47" t="s">
        <v>304</v>
      </c>
      <c r="E17" s="48">
        <f>F17+I17</f>
        <v>600000</v>
      </c>
      <c r="F17" s="48">
        <f>500000+100000</f>
        <v>600000</v>
      </c>
      <c r="G17" s="48"/>
      <c r="H17" s="48"/>
      <c r="I17" s="48"/>
      <c r="J17" s="48">
        <f>L17+O17</f>
        <v>0</v>
      </c>
      <c r="K17" s="48"/>
      <c r="L17" s="48"/>
      <c r="M17" s="48"/>
      <c r="N17" s="48"/>
      <c r="O17" s="48"/>
      <c r="P17" s="48"/>
      <c r="Q17" s="44">
        <f t="shared" si="2"/>
        <v>600000</v>
      </c>
    </row>
    <row r="18" spans="1:17" s="26" customFormat="1" ht="198" customHeight="1">
      <c r="A18" s="45" t="s">
        <v>55</v>
      </c>
      <c r="B18" s="45" t="s">
        <v>56</v>
      </c>
      <c r="C18" s="46" t="s">
        <v>57</v>
      </c>
      <c r="D18" s="47" t="s">
        <v>58</v>
      </c>
      <c r="E18" s="48">
        <f t="shared" ref="E18:E30" si="4">F18+I18</f>
        <v>237000</v>
      </c>
      <c r="F18" s="48">
        <f>190000+47000</f>
        <v>237000</v>
      </c>
      <c r="G18" s="48"/>
      <c r="H18" s="48"/>
      <c r="I18" s="48"/>
      <c r="J18" s="48">
        <f>L18+O18</f>
        <v>0</v>
      </c>
      <c r="K18" s="48"/>
      <c r="L18" s="48"/>
      <c r="M18" s="48"/>
      <c r="N18" s="48"/>
      <c r="O18" s="48"/>
      <c r="P18" s="48"/>
      <c r="Q18" s="44">
        <f t="shared" si="2"/>
        <v>237000</v>
      </c>
    </row>
    <row r="19" spans="1:17" s="26" customFormat="1" ht="111" customHeight="1">
      <c r="A19" s="45" t="s">
        <v>59</v>
      </c>
      <c r="B19" s="45" t="s">
        <v>60</v>
      </c>
      <c r="C19" s="46" t="s">
        <v>61</v>
      </c>
      <c r="D19" s="47" t="s">
        <v>62</v>
      </c>
      <c r="E19" s="48">
        <f t="shared" si="4"/>
        <v>1590934</v>
      </c>
      <c r="F19" s="48">
        <f>310000+201000+137000+942934</f>
        <v>1590934</v>
      </c>
      <c r="G19" s="48">
        <v>611987</v>
      </c>
      <c r="H19" s="48">
        <v>91873</v>
      </c>
      <c r="I19" s="48"/>
      <c r="J19" s="48">
        <f>L19+O19</f>
        <v>0</v>
      </c>
      <c r="K19" s="48"/>
      <c r="L19" s="48"/>
      <c r="M19" s="48"/>
      <c r="N19" s="48"/>
      <c r="O19" s="48"/>
      <c r="P19" s="48"/>
      <c r="Q19" s="44">
        <f t="shared" si="2"/>
        <v>1590934</v>
      </c>
    </row>
    <row r="20" spans="1:17" s="26" customFormat="1" ht="324" customHeight="1">
      <c r="A20" s="45" t="s">
        <v>323</v>
      </c>
      <c r="B20" s="45" t="s">
        <v>321</v>
      </c>
      <c r="C20" s="45" t="s">
        <v>72</v>
      </c>
      <c r="D20" s="47" t="s">
        <v>322</v>
      </c>
      <c r="E20" s="48">
        <f t="shared" si="4"/>
        <v>10000</v>
      </c>
      <c r="F20" s="48">
        <v>10000</v>
      </c>
      <c r="G20" s="48"/>
      <c r="H20" s="48"/>
      <c r="I20" s="48"/>
      <c r="J20" s="48">
        <f t="shared" ref="J20" si="5">L20+O20</f>
        <v>457000</v>
      </c>
      <c r="K20" s="48">
        <f>250000+207000</f>
        <v>457000</v>
      </c>
      <c r="L20" s="48"/>
      <c r="M20" s="48"/>
      <c r="N20" s="48"/>
      <c r="O20" s="48">
        <f>250000+207000</f>
        <v>457000</v>
      </c>
      <c r="P20" s="48"/>
      <c r="Q20" s="44">
        <f t="shared" si="2"/>
        <v>467000</v>
      </c>
    </row>
    <row r="21" spans="1:17" s="26" customFormat="1" ht="292.7" customHeight="1">
      <c r="A21" s="45" t="s">
        <v>70</v>
      </c>
      <c r="B21" s="45" t="s">
        <v>71</v>
      </c>
      <c r="C21" s="45" t="s">
        <v>72</v>
      </c>
      <c r="D21" s="47" t="s">
        <v>73</v>
      </c>
      <c r="E21" s="48">
        <f t="shared" si="4"/>
        <v>120000</v>
      </c>
      <c r="F21" s="48"/>
      <c r="G21" s="48"/>
      <c r="H21" s="48"/>
      <c r="I21" s="48">
        <v>120000</v>
      </c>
      <c r="J21" s="48">
        <f>L21+O21</f>
        <v>28800</v>
      </c>
      <c r="K21" s="48"/>
      <c r="L21" s="48"/>
      <c r="M21" s="48"/>
      <c r="N21" s="48"/>
      <c r="O21" s="48">
        <f>22171+6629</f>
        <v>28800</v>
      </c>
      <c r="P21" s="48"/>
      <c r="Q21" s="44">
        <f>+E21+J21</f>
        <v>148800</v>
      </c>
    </row>
    <row r="22" spans="1:17" s="26" customFormat="1" ht="46.5">
      <c r="A22" s="71" t="s">
        <v>476</v>
      </c>
      <c r="B22" s="45" t="s">
        <v>386</v>
      </c>
      <c r="C22" s="45" t="s">
        <v>388</v>
      </c>
      <c r="D22" s="47" t="s">
        <v>387</v>
      </c>
      <c r="E22" s="48">
        <f t="shared" si="4"/>
        <v>40000</v>
      </c>
      <c r="F22" s="48"/>
      <c r="G22" s="48"/>
      <c r="H22" s="48"/>
      <c r="I22" s="48">
        <v>40000</v>
      </c>
      <c r="J22" s="48"/>
      <c r="K22" s="48"/>
      <c r="L22" s="48"/>
      <c r="M22" s="48"/>
      <c r="N22" s="48"/>
      <c r="O22" s="48"/>
      <c r="P22" s="48"/>
      <c r="Q22" s="44">
        <f>+E22+J22</f>
        <v>40000</v>
      </c>
    </row>
    <row r="23" spans="1:17" s="26" customFormat="1" ht="140.25" customHeight="1">
      <c r="A23" s="45" t="s">
        <v>74</v>
      </c>
      <c r="B23" s="45" t="s">
        <v>75</v>
      </c>
      <c r="C23" s="45" t="s">
        <v>76</v>
      </c>
      <c r="D23" s="47" t="s">
        <v>77</v>
      </c>
      <c r="E23" s="48">
        <f t="shared" si="4"/>
        <v>1430009</v>
      </c>
      <c r="F23" s="48"/>
      <c r="G23" s="48"/>
      <c r="H23" s="48"/>
      <c r="I23" s="48">
        <f>2395748-595889-299850-70000</f>
        <v>1430009</v>
      </c>
      <c r="J23" s="48">
        <f>L23+O23</f>
        <v>299850</v>
      </c>
      <c r="K23" s="48">
        <f>2000004+299850-2000004</f>
        <v>299850</v>
      </c>
      <c r="L23" s="48"/>
      <c r="M23" s="48"/>
      <c r="N23" s="48"/>
      <c r="O23" s="48">
        <f>2000004+299850-2000004</f>
        <v>299850</v>
      </c>
      <c r="P23" s="48"/>
      <c r="Q23" s="44">
        <f t="shared" si="2"/>
        <v>1729859</v>
      </c>
    </row>
    <row r="24" spans="1:17" s="26" customFormat="1" ht="175.7" customHeight="1">
      <c r="A24" s="45" t="s">
        <v>84</v>
      </c>
      <c r="B24" s="45" t="s">
        <v>85</v>
      </c>
      <c r="C24" s="45" t="s">
        <v>86</v>
      </c>
      <c r="D24" s="47" t="s">
        <v>87</v>
      </c>
      <c r="E24" s="48">
        <f t="shared" si="4"/>
        <v>650000</v>
      </c>
      <c r="F24" s="48">
        <f>990000-340000</f>
        <v>650000</v>
      </c>
      <c r="G24" s="48"/>
      <c r="H24" s="48"/>
      <c r="I24" s="48"/>
      <c r="J24" s="48">
        <v>340000</v>
      </c>
      <c r="K24" s="48">
        <v>340000</v>
      </c>
      <c r="L24" s="48"/>
      <c r="M24" s="48"/>
      <c r="N24" s="48"/>
      <c r="O24" s="48">
        <v>340000</v>
      </c>
      <c r="P24" s="48"/>
      <c r="Q24" s="44">
        <f t="shared" si="2"/>
        <v>990000</v>
      </c>
    </row>
    <row r="25" spans="1:17" s="26" customFormat="1" ht="147" customHeight="1">
      <c r="A25" s="45" t="s">
        <v>88</v>
      </c>
      <c r="B25" s="45" t="s">
        <v>89</v>
      </c>
      <c r="C25" s="45" t="s">
        <v>90</v>
      </c>
      <c r="D25" s="47" t="s">
        <v>91</v>
      </c>
      <c r="E25" s="48">
        <f t="shared" si="4"/>
        <v>1486000</v>
      </c>
      <c r="F25" s="48">
        <f>1026000-500000-40000</f>
        <v>486000</v>
      </c>
      <c r="G25" s="48"/>
      <c r="H25" s="48"/>
      <c r="I25" s="48">
        <f>500000+500000</f>
        <v>1000000</v>
      </c>
      <c r="J25" s="48">
        <f t="shared" ref="J25:J27" si="6">+L25+O25</f>
        <v>0</v>
      </c>
      <c r="K25" s="48"/>
      <c r="L25" s="48"/>
      <c r="M25" s="48"/>
      <c r="N25" s="48"/>
      <c r="O25" s="48"/>
      <c r="P25" s="48"/>
      <c r="Q25" s="44">
        <f t="shared" si="2"/>
        <v>1486000</v>
      </c>
    </row>
    <row r="26" spans="1:17" s="26" customFormat="1" ht="243.95" customHeight="1">
      <c r="A26" s="45" t="s">
        <v>92</v>
      </c>
      <c r="B26" s="45" t="s">
        <v>93</v>
      </c>
      <c r="C26" s="45" t="s">
        <v>94</v>
      </c>
      <c r="D26" s="47" t="s">
        <v>95</v>
      </c>
      <c r="E26" s="48">
        <f t="shared" si="4"/>
        <v>5634000</v>
      </c>
      <c r="F26" s="48">
        <f>324000-35000-10000-40000-80000-20000-30000</f>
        <v>109000</v>
      </c>
      <c r="G26" s="48"/>
      <c r="H26" s="48"/>
      <c r="I26" s="48">
        <f>5000000+525000</f>
        <v>5525000</v>
      </c>
      <c r="J26" s="48">
        <f t="shared" si="6"/>
        <v>0</v>
      </c>
      <c r="K26" s="48"/>
      <c r="L26" s="48"/>
      <c r="M26" s="48"/>
      <c r="N26" s="48"/>
      <c r="O26" s="48"/>
      <c r="P26" s="48"/>
      <c r="Q26" s="44">
        <f t="shared" si="2"/>
        <v>5634000</v>
      </c>
    </row>
    <row r="27" spans="1:17" s="26" customFormat="1" ht="243.95" customHeight="1">
      <c r="A27" s="45" t="s">
        <v>363</v>
      </c>
      <c r="B27" s="45" t="s">
        <v>364</v>
      </c>
      <c r="C27" s="45" t="s">
        <v>76</v>
      </c>
      <c r="D27" s="47" t="s">
        <v>365</v>
      </c>
      <c r="E27" s="48"/>
      <c r="F27" s="48"/>
      <c r="G27" s="48"/>
      <c r="H27" s="48"/>
      <c r="I27" s="48"/>
      <c r="J27" s="48">
        <f t="shared" si="6"/>
        <v>190000</v>
      </c>
      <c r="K27" s="48">
        <v>190000</v>
      </c>
      <c r="L27" s="48"/>
      <c r="M27" s="48"/>
      <c r="N27" s="48"/>
      <c r="O27" s="48">
        <v>190000</v>
      </c>
      <c r="P27" s="48"/>
      <c r="Q27" s="44">
        <f t="shared" si="2"/>
        <v>190000</v>
      </c>
    </row>
    <row r="28" spans="1:17" s="26" customFormat="1" ht="175.7" customHeight="1">
      <c r="A28" s="45" t="s">
        <v>96</v>
      </c>
      <c r="B28" s="45" t="s">
        <v>97</v>
      </c>
      <c r="C28" s="45" t="s">
        <v>76</v>
      </c>
      <c r="D28" s="47" t="s">
        <v>98</v>
      </c>
      <c r="E28" s="48">
        <f t="shared" si="4"/>
        <v>160162</v>
      </c>
      <c r="F28" s="48">
        <v>160162</v>
      </c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4">
        <f t="shared" si="2"/>
        <v>160162</v>
      </c>
    </row>
    <row r="29" spans="1:17" s="26" customFormat="1" ht="126" customHeight="1">
      <c r="A29" s="45" t="s">
        <v>99</v>
      </c>
      <c r="B29" s="45" t="s">
        <v>100</v>
      </c>
      <c r="C29" s="45" t="s">
        <v>76</v>
      </c>
      <c r="D29" s="47" t="s">
        <v>101</v>
      </c>
      <c r="E29" s="48">
        <f t="shared" si="4"/>
        <v>2099845.19</v>
      </c>
      <c r="F29" s="48">
        <f>51800+4200000+4200000-727100-750059-383200-585732-68000-313900-124000-120000-111500-28500+120000-382939-621286.71-180269-203714-570444-10000-561212-333047+33000-738335.1</f>
        <v>1791562.19</v>
      </c>
      <c r="G29" s="48"/>
      <c r="H29" s="48"/>
      <c r="I29" s="48">
        <f>175680+132603</f>
        <v>308283</v>
      </c>
      <c r="J29" s="48">
        <f>L29+O29</f>
        <v>4314000</v>
      </c>
      <c r="K29" s="48">
        <f>18269569.4+3360000-18269569.4+954000</f>
        <v>4314000</v>
      </c>
      <c r="L29" s="48"/>
      <c r="M29" s="48"/>
      <c r="N29" s="48"/>
      <c r="O29" s="48">
        <f>18269569.4+3360000-18269569.4+954000</f>
        <v>4314000</v>
      </c>
      <c r="P29" s="48"/>
      <c r="Q29" s="44">
        <f t="shared" si="2"/>
        <v>6413845.1899999995</v>
      </c>
    </row>
    <row r="30" spans="1:17" s="26" customFormat="1" ht="88.5" customHeight="1">
      <c r="A30" s="45" t="s">
        <v>109</v>
      </c>
      <c r="B30" s="45" t="s">
        <v>110</v>
      </c>
      <c r="C30" s="45" t="s">
        <v>108</v>
      </c>
      <c r="D30" s="47" t="s">
        <v>111</v>
      </c>
      <c r="E30" s="48">
        <f t="shared" si="4"/>
        <v>1871250</v>
      </c>
      <c r="F30" s="48">
        <f>1560000+11250+300000</f>
        <v>1871250</v>
      </c>
      <c r="G30" s="48"/>
      <c r="H30" s="48"/>
      <c r="I30" s="48"/>
      <c r="J30" s="48">
        <f>L30+O30</f>
        <v>0</v>
      </c>
      <c r="K30" s="48"/>
      <c r="L30" s="48"/>
      <c r="M30" s="48"/>
      <c r="N30" s="48"/>
      <c r="O30" s="48"/>
      <c r="P30" s="48"/>
      <c r="Q30" s="44">
        <f t="shared" si="2"/>
        <v>1871250</v>
      </c>
    </row>
    <row r="31" spans="1:17" s="10" customFormat="1" ht="171" customHeight="1">
      <c r="A31" s="42" t="s">
        <v>17</v>
      </c>
      <c r="B31" s="42"/>
      <c r="C31" s="42"/>
      <c r="D31" s="43" t="s">
        <v>47</v>
      </c>
      <c r="E31" s="44">
        <f>E32</f>
        <v>1235939136.3599999</v>
      </c>
      <c r="F31" s="44">
        <f t="shared" ref="F31:P31" si="7">F32</f>
        <v>1235939136.3599999</v>
      </c>
      <c r="G31" s="44">
        <f t="shared" si="7"/>
        <v>822329358</v>
      </c>
      <c r="H31" s="44">
        <f t="shared" si="7"/>
        <v>77768339</v>
      </c>
      <c r="I31" s="44">
        <f t="shared" si="7"/>
        <v>0</v>
      </c>
      <c r="J31" s="44">
        <f t="shared" si="7"/>
        <v>80416216.859999999</v>
      </c>
      <c r="K31" s="44">
        <f t="shared" si="7"/>
        <v>9174436</v>
      </c>
      <c r="L31" s="44">
        <f t="shared" si="7"/>
        <v>71017580.859999999</v>
      </c>
      <c r="M31" s="44">
        <f t="shared" si="7"/>
        <v>5048500</v>
      </c>
      <c r="N31" s="44">
        <f t="shared" si="7"/>
        <v>2552900</v>
      </c>
      <c r="O31" s="44">
        <f t="shared" si="7"/>
        <v>9398636</v>
      </c>
      <c r="P31" s="44">
        <f t="shared" si="7"/>
        <v>0</v>
      </c>
      <c r="Q31" s="44">
        <f t="shared" si="2"/>
        <v>1316355353.2199998</v>
      </c>
    </row>
    <row r="32" spans="1:17" s="10" customFormat="1" ht="112.7" customHeight="1">
      <c r="A32" s="42" t="s">
        <v>18</v>
      </c>
      <c r="B32" s="42"/>
      <c r="C32" s="42"/>
      <c r="D32" s="43" t="s">
        <v>47</v>
      </c>
      <c r="E32" s="44">
        <f>SUM(E33:E44)</f>
        <v>1235939136.3599999</v>
      </c>
      <c r="F32" s="44">
        <f t="shared" ref="F32:Q32" si="8">SUM(F33:F44)</f>
        <v>1235939136.3599999</v>
      </c>
      <c r="G32" s="44">
        <f t="shared" si="8"/>
        <v>822329358</v>
      </c>
      <c r="H32" s="44">
        <f t="shared" si="8"/>
        <v>77768339</v>
      </c>
      <c r="I32" s="44">
        <f t="shared" si="8"/>
        <v>0</v>
      </c>
      <c r="J32" s="44">
        <f t="shared" si="8"/>
        <v>80416216.859999999</v>
      </c>
      <c r="K32" s="44">
        <f t="shared" si="8"/>
        <v>9174436</v>
      </c>
      <c r="L32" s="44">
        <f t="shared" si="8"/>
        <v>71017580.859999999</v>
      </c>
      <c r="M32" s="44">
        <f t="shared" si="8"/>
        <v>5048500</v>
      </c>
      <c r="N32" s="44">
        <f t="shared" si="8"/>
        <v>2552900</v>
      </c>
      <c r="O32" s="44">
        <f t="shared" si="8"/>
        <v>9398636</v>
      </c>
      <c r="P32" s="44">
        <f t="shared" si="8"/>
        <v>0</v>
      </c>
      <c r="Q32" s="44">
        <f t="shared" si="8"/>
        <v>1316355353.2199998</v>
      </c>
    </row>
    <row r="33" spans="1:17" s="26" customFormat="1" ht="225.95" customHeight="1">
      <c r="A33" s="45" t="s">
        <v>112</v>
      </c>
      <c r="B33" s="45" t="s">
        <v>113</v>
      </c>
      <c r="C33" s="45" t="s">
        <v>53</v>
      </c>
      <c r="D33" s="47" t="s">
        <v>304</v>
      </c>
      <c r="E33" s="48">
        <f t="shared" ref="E33:E42" si="9">F33+I33</f>
        <v>4197213</v>
      </c>
      <c r="F33" s="48">
        <v>4197213</v>
      </c>
      <c r="G33" s="48">
        <f>3237970-30369</f>
        <v>3207601</v>
      </c>
      <c r="H33" s="48">
        <v>127935</v>
      </c>
      <c r="I33" s="48"/>
      <c r="J33" s="48">
        <f t="shared" ref="J33:J44" si="10">L33+O33</f>
        <v>0</v>
      </c>
      <c r="K33" s="48"/>
      <c r="L33" s="48"/>
      <c r="M33" s="48"/>
      <c r="N33" s="48"/>
      <c r="O33" s="48"/>
      <c r="P33" s="48"/>
      <c r="Q33" s="44">
        <f t="shared" si="2"/>
        <v>4197213</v>
      </c>
    </row>
    <row r="34" spans="1:17" s="26" customFormat="1" ht="66.75" customHeight="1">
      <c r="A34" s="45" t="s">
        <v>114</v>
      </c>
      <c r="B34" s="45" t="s">
        <v>115</v>
      </c>
      <c r="C34" s="45" t="s">
        <v>116</v>
      </c>
      <c r="D34" s="47" t="s">
        <v>117</v>
      </c>
      <c r="E34" s="48">
        <f t="shared" si="9"/>
        <v>382039762.93000001</v>
      </c>
      <c r="F34" s="48">
        <f>365259903.36-2314632+28000+10903.88+19055587.69</f>
        <v>382039762.93000001</v>
      </c>
      <c r="G34" s="48">
        <f>233431625+119791+7479.96+11561576.48</f>
        <v>245120472.44</v>
      </c>
      <c r="H34" s="48">
        <f>38463900-7466800-250000-2821575-12000+866221.56+706928.86+659928.32+58680.46-939870</f>
        <v>29265414.199999999</v>
      </c>
      <c r="I34" s="48"/>
      <c r="J34" s="48">
        <f t="shared" si="10"/>
        <v>35396458</v>
      </c>
      <c r="K34" s="48">
        <f>1055107+20000+64000</f>
        <v>1139107</v>
      </c>
      <c r="L34" s="48">
        <v>34257351</v>
      </c>
      <c r="M34" s="48"/>
      <c r="N34" s="48"/>
      <c r="O34" s="48">
        <f>1055107+20000+64000</f>
        <v>1139107</v>
      </c>
      <c r="P34" s="48"/>
      <c r="Q34" s="44">
        <f t="shared" si="2"/>
        <v>417436220.93000001</v>
      </c>
    </row>
    <row r="35" spans="1:17" s="26" customFormat="1" ht="270.95" customHeight="1">
      <c r="A35" s="45" t="s">
        <v>118</v>
      </c>
      <c r="B35" s="45" t="s">
        <v>119</v>
      </c>
      <c r="C35" s="45" t="s">
        <v>120</v>
      </c>
      <c r="D35" s="49" t="s">
        <v>397</v>
      </c>
      <c r="E35" s="48">
        <f t="shared" si="9"/>
        <v>671593663.42999995</v>
      </c>
      <c r="F35" s="48">
        <f>680597740+10024155+38260-10903.88-19055587.69</f>
        <v>671593663.42999995</v>
      </c>
      <c r="G35" s="48">
        <f>447639272+1708600+320530+15074500+4425000+128641+6694098-7479.96-11561576.48</f>
        <v>464421584.56</v>
      </c>
      <c r="H35" s="48">
        <f>34685799-315000-706928.86-1526149.88-58680.46</f>
        <v>32079039.800000001</v>
      </c>
      <c r="I35" s="48"/>
      <c r="J35" s="48">
        <f t="shared" si="10"/>
        <v>31389768</v>
      </c>
      <c r="K35" s="48">
        <f>1331000+313000+845195+13000+14000+74494+144610-161200+3455320+696300+63700-64000</f>
        <v>6725419</v>
      </c>
      <c r="L35" s="48">
        <v>24664349</v>
      </c>
      <c r="M35" s="48">
        <v>1050000</v>
      </c>
      <c r="N35" s="48">
        <v>72000</v>
      </c>
      <c r="O35" s="48">
        <f>1331000+313000+845195+13000+14000+74494+144610-161200+3455320+696300+63700-64000</f>
        <v>6725419</v>
      </c>
      <c r="P35" s="48"/>
      <c r="Q35" s="44">
        <f t="shared" si="2"/>
        <v>702983431.42999995</v>
      </c>
    </row>
    <row r="36" spans="1:17" s="26" customFormat="1" ht="186.75" customHeight="1">
      <c r="A36" s="45" t="s">
        <v>122</v>
      </c>
      <c r="B36" s="45" t="s">
        <v>123</v>
      </c>
      <c r="C36" s="45" t="s">
        <v>124</v>
      </c>
      <c r="D36" s="49" t="s">
        <v>398</v>
      </c>
      <c r="E36" s="48">
        <f t="shared" si="9"/>
        <v>29216756</v>
      </c>
      <c r="F36" s="48">
        <f>29037900+178856</f>
        <v>29216756</v>
      </c>
      <c r="G36" s="48">
        <v>19203700</v>
      </c>
      <c r="H36" s="48">
        <v>1255550</v>
      </c>
      <c r="I36" s="48"/>
      <c r="J36" s="48">
        <f t="shared" si="10"/>
        <v>0</v>
      </c>
      <c r="K36" s="48"/>
      <c r="L36" s="48"/>
      <c r="M36" s="48"/>
      <c r="N36" s="48"/>
      <c r="O36" s="48"/>
      <c r="P36" s="48"/>
      <c r="Q36" s="44">
        <f t="shared" si="2"/>
        <v>29216756</v>
      </c>
    </row>
    <row r="37" spans="1:17" s="26" customFormat="1" ht="219" customHeight="1">
      <c r="A37" s="45" t="s">
        <v>125</v>
      </c>
      <c r="B37" s="45" t="s">
        <v>126</v>
      </c>
      <c r="C37" s="45" t="s">
        <v>127</v>
      </c>
      <c r="D37" s="49" t="s">
        <v>424</v>
      </c>
      <c r="E37" s="48">
        <f t="shared" si="9"/>
        <v>111712400</v>
      </c>
      <c r="F37" s="48">
        <f>111462400+250000</f>
        <v>111712400</v>
      </c>
      <c r="G37" s="48">
        <v>65194300</v>
      </c>
      <c r="H37" s="48">
        <v>13939400</v>
      </c>
      <c r="I37" s="48"/>
      <c r="J37" s="48">
        <f t="shared" si="10"/>
        <v>12114900</v>
      </c>
      <c r="K37" s="48"/>
      <c r="L37" s="48">
        <v>11890700</v>
      </c>
      <c r="M37" s="48">
        <v>3998500</v>
      </c>
      <c r="N37" s="48">
        <v>2480900</v>
      </c>
      <c r="O37" s="48">
        <v>224200</v>
      </c>
      <c r="P37" s="48"/>
      <c r="Q37" s="44">
        <f t="shared" si="2"/>
        <v>123827300</v>
      </c>
    </row>
    <row r="38" spans="1:17" s="26" customFormat="1" ht="156.75" customHeight="1">
      <c r="A38" s="45" t="s">
        <v>128</v>
      </c>
      <c r="B38" s="45" t="s">
        <v>129</v>
      </c>
      <c r="C38" s="45" t="s">
        <v>130</v>
      </c>
      <c r="D38" s="49" t="s">
        <v>399</v>
      </c>
      <c r="E38" s="48">
        <f>F38+I38</f>
        <v>8169600</v>
      </c>
      <c r="F38" s="48">
        <v>8169600</v>
      </c>
      <c r="G38" s="48">
        <v>5254300</v>
      </c>
      <c r="H38" s="48">
        <v>40600</v>
      </c>
      <c r="I38" s="48"/>
      <c r="J38" s="48">
        <f t="shared" si="10"/>
        <v>0</v>
      </c>
      <c r="K38" s="48"/>
      <c r="L38" s="48"/>
      <c r="M38" s="48"/>
      <c r="N38" s="48"/>
      <c r="O38" s="48"/>
      <c r="P38" s="48"/>
      <c r="Q38" s="44">
        <f t="shared" si="2"/>
        <v>8169600</v>
      </c>
    </row>
    <row r="39" spans="1:17" s="26" customFormat="1" ht="135" customHeight="1">
      <c r="A39" s="45" t="s">
        <v>131</v>
      </c>
      <c r="B39" s="45" t="s">
        <v>132</v>
      </c>
      <c r="C39" s="45" t="s">
        <v>130</v>
      </c>
      <c r="D39" s="47" t="s">
        <v>133</v>
      </c>
      <c r="E39" s="48">
        <f>F39+I39</f>
        <v>11945800</v>
      </c>
      <c r="F39" s="48">
        <v>11945800</v>
      </c>
      <c r="G39" s="48">
        <v>9241800</v>
      </c>
      <c r="H39" s="48">
        <v>266500</v>
      </c>
      <c r="I39" s="48"/>
      <c r="J39" s="48"/>
      <c r="K39" s="48"/>
      <c r="L39" s="48"/>
      <c r="M39" s="48"/>
      <c r="N39" s="48"/>
      <c r="O39" s="48"/>
      <c r="P39" s="48"/>
      <c r="Q39" s="44">
        <f t="shared" si="2"/>
        <v>11945800</v>
      </c>
    </row>
    <row r="40" spans="1:17" s="26" customFormat="1" ht="71.25" customHeight="1">
      <c r="A40" s="45" t="s">
        <v>134</v>
      </c>
      <c r="B40" s="45" t="s">
        <v>135</v>
      </c>
      <c r="C40" s="45" t="s">
        <v>130</v>
      </c>
      <c r="D40" s="47" t="s">
        <v>136</v>
      </c>
      <c r="E40" s="48">
        <f>F40+I40</f>
        <v>72400</v>
      </c>
      <c r="F40" s="48">
        <v>72400</v>
      </c>
      <c r="G40" s="48"/>
      <c r="H40" s="48"/>
      <c r="I40" s="48"/>
      <c r="J40" s="48">
        <f t="shared" si="10"/>
        <v>0</v>
      </c>
      <c r="K40" s="48"/>
      <c r="L40" s="48"/>
      <c r="M40" s="48"/>
      <c r="N40" s="48"/>
      <c r="O40" s="48"/>
      <c r="P40" s="48"/>
      <c r="Q40" s="44">
        <f t="shared" si="2"/>
        <v>72400</v>
      </c>
    </row>
    <row r="41" spans="1:17" s="26" customFormat="1" ht="118.5" customHeight="1">
      <c r="A41" s="45" t="s">
        <v>370</v>
      </c>
      <c r="B41" s="45" t="s">
        <v>371</v>
      </c>
      <c r="C41" s="45" t="s">
        <v>130</v>
      </c>
      <c r="D41" s="47" t="s">
        <v>372</v>
      </c>
      <c r="E41" s="48">
        <f>F41+I41</f>
        <v>7430800</v>
      </c>
      <c r="F41" s="48">
        <f>6848600+642700-60500</f>
        <v>7430800</v>
      </c>
      <c r="G41" s="48">
        <f>3790200+526800</f>
        <v>4317000</v>
      </c>
      <c r="H41" s="48">
        <v>197900</v>
      </c>
      <c r="I41" s="48"/>
      <c r="J41" s="48">
        <f t="shared" si="10"/>
        <v>60500</v>
      </c>
      <c r="K41" s="48">
        <f>60500</f>
        <v>60500</v>
      </c>
      <c r="L41" s="48"/>
      <c r="M41" s="48"/>
      <c r="N41" s="48"/>
      <c r="O41" s="48">
        <v>60500</v>
      </c>
      <c r="P41" s="48"/>
      <c r="Q41" s="44">
        <f t="shared" si="2"/>
        <v>7491300</v>
      </c>
    </row>
    <row r="42" spans="1:17" s="26" customFormat="1" ht="161.25" customHeight="1">
      <c r="A42" s="45" t="s">
        <v>137</v>
      </c>
      <c r="B42" s="45" t="s">
        <v>138</v>
      </c>
      <c r="C42" s="45" t="s">
        <v>139</v>
      </c>
      <c r="D42" s="47" t="s">
        <v>140</v>
      </c>
      <c r="E42" s="48">
        <f t="shared" si="9"/>
        <v>9560741</v>
      </c>
      <c r="F42" s="48">
        <f>9473500+87241</f>
        <v>9560741</v>
      </c>
      <c r="G42" s="48">
        <v>6368600</v>
      </c>
      <c r="H42" s="48">
        <v>596000</v>
      </c>
      <c r="I42" s="48"/>
      <c r="J42" s="48">
        <f>L42+O42</f>
        <v>0</v>
      </c>
      <c r="K42" s="48"/>
      <c r="L42" s="48"/>
      <c r="M42" s="48"/>
      <c r="N42" s="48"/>
      <c r="O42" s="48"/>
      <c r="P42" s="48"/>
      <c r="Q42" s="44">
        <f t="shared" si="2"/>
        <v>9560741</v>
      </c>
    </row>
    <row r="43" spans="1:17" s="26" customFormat="1" ht="161.25" customHeight="1">
      <c r="A43" s="45" t="s">
        <v>423</v>
      </c>
      <c r="B43" s="45" t="s">
        <v>417</v>
      </c>
      <c r="C43" s="45" t="s">
        <v>343</v>
      </c>
      <c r="D43" s="50" t="s">
        <v>418</v>
      </c>
      <c r="E43" s="48"/>
      <c r="F43" s="48"/>
      <c r="G43" s="48"/>
      <c r="H43" s="48"/>
      <c r="I43" s="48"/>
      <c r="J43" s="48">
        <f t="shared" si="10"/>
        <v>1249410</v>
      </c>
      <c r="K43" s="48">
        <f>1200000+49410</f>
        <v>1249410</v>
      </c>
      <c r="L43" s="48"/>
      <c r="M43" s="48"/>
      <c r="N43" s="48"/>
      <c r="O43" s="48">
        <f>1200000+49410</f>
        <v>1249410</v>
      </c>
      <c r="P43" s="48"/>
      <c r="Q43" s="44">
        <f t="shared" si="2"/>
        <v>1249410</v>
      </c>
    </row>
    <row r="44" spans="1:17" s="26" customFormat="1" ht="161.25" customHeight="1">
      <c r="A44" s="45" t="s">
        <v>465</v>
      </c>
      <c r="B44" s="45" t="s">
        <v>263</v>
      </c>
      <c r="C44" s="45" t="s">
        <v>223</v>
      </c>
      <c r="D44" s="50" t="s">
        <v>264</v>
      </c>
      <c r="E44" s="48"/>
      <c r="F44" s="48"/>
      <c r="G44" s="48"/>
      <c r="H44" s="48"/>
      <c r="I44" s="48"/>
      <c r="J44" s="48">
        <f t="shared" si="10"/>
        <v>205180.86</v>
      </c>
      <c r="K44" s="48"/>
      <c r="L44" s="48">
        <v>205180.86</v>
      </c>
      <c r="M44" s="48"/>
      <c r="N44" s="48"/>
      <c r="O44" s="48"/>
      <c r="P44" s="48"/>
      <c r="Q44" s="44">
        <f t="shared" si="2"/>
        <v>205180.86</v>
      </c>
    </row>
    <row r="45" spans="1:17" s="10" customFormat="1" ht="114.75" customHeight="1">
      <c r="A45" s="42" t="s">
        <v>19</v>
      </c>
      <c r="B45" s="42"/>
      <c r="C45" s="42"/>
      <c r="D45" s="43" t="s">
        <v>20</v>
      </c>
      <c r="E45" s="44">
        <f>E46</f>
        <v>167922592.19999999</v>
      </c>
      <c r="F45" s="44">
        <f t="shared" ref="F45:P45" si="11">F46</f>
        <v>166072592.19999999</v>
      </c>
      <c r="G45" s="44">
        <f t="shared" si="11"/>
        <v>1494245</v>
      </c>
      <c r="H45" s="44">
        <f t="shared" si="11"/>
        <v>0</v>
      </c>
      <c r="I45" s="44">
        <f t="shared" si="11"/>
        <v>1850000</v>
      </c>
      <c r="J45" s="44">
        <f t="shared" si="11"/>
        <v>32906718</v>
      </c>
      <c r="K45" s="44">
        <f t="shared" si="11"/>
        <v>32906718</v>
      </c>
      <c r="L45" s="44">
        <f t="shared" si="11"/>
        <v>0</v>
      </c>
      <c r="M45" s="44">
        <f t="shared" si="11"/>
        <v>0</v>
      </c>
      <c r="N45" s="44">
        <f t="shared" si="11"/>
        <v>0</v>
      </c>
      <c r="O45" s="44">
        <f t="shared" si="11"/>
        <v>32906718</v>
      </c>
      <c r="P45" s="44">
        <f t="shared" si="11"/>
        <v>0</v>
      </c>
      <c r="Q45" s="44">
        <f t="shared" si="2"/>
        <v>200829310.19999999</v>
      </c>
    </row>
    <row r="46" spans="1:17" s="10" customFormat="1" ht="190.5" customHeight="1">
      <c r="A46" s="42" t="s">
        <v>21</v>
      </c>
      <c r="B46" s="42"/>
      <c r="C46" s="42"/>
      <c r="D46" s="43" t="s">
        <v>20</v>
      </c>
      <c r="E46" s="44">
        <f t="shared" ref="E46:P46" si="12">SUM(E47:E59)</f>
        <v>167922592.19999999</v>
      </c>
      <c r="F46" s="44">
        <f t="shared" si="12"/>
        <v>166072592.19999999</v>
      </c>
      <c r="G46" s="44">
        <f t="shared" si="12"/>
        <v>1494245</v>
      </c>
      <c r="H46" s="44">
        <f t="shared" si="12"/>
        <v>0</v>
      </c>
      <c r="I46" s="44">
        <f t="shared" si="12"/>
        <v>1850000</v>
      </c>
      <c r="J46" s="44">
        <f t="shared" si="12"/>
        <v>32906718</v>
      </c>
      <c r="K46" s="44">
        <f t="shared" si="12"/>
        <v>32906718</v>
      </c>
      <c r="L46" s="44">
        <f t="shared" si="12"/>
        <v>0</v>
      </c>
      <c r="M46" s="44">
        <f t="shared" si="12"/>
        <v>0</v>
      </c>
      <c r="N46" s="51">
        <f t="shared" si="12"/>
        <v>0</v>
      </c>
      <c r="O46" s="44">
        <f t="shared" si="12"/>
        <v>32906718</v>
      </c>
      <c r="P46" s="44">
        <f t="shared" si="12"/>
        <v>0</v>
      </c>
      <c r="Q46" s="44">
        <f t="shared" si="2"/>
        <v>200829310.19999999</v>
      </c>
    </row>
    <row r="47" spans="1:17" s="26" customFormat="1" ht="224.25" customHeight="1">
      <c r="A47" s="45" t="s">
        <v>143</v>
      </c>
      <c r="B47" s="45" t="s">
        <v>113</v>
      </c>
      <c r="C47" s="45" t="s">
        <v>53</v>
      </c>
      <c r="D47" s="47" t="s">
        <v>304</v>
      </c>
      <c r="E47" s="48">
        <f>F47+I47</f>
        <v>1910795</v>
      </c>
      <c r="F47" s="48">
        <f>1927819-17024</f>
        <v>1910795</v>
      </c>
      <c r="G47" s="48">
        <f>1508199-13954</f>
        <v>1494245</v>
      </c>
      <c r="H47" s="48"/>
      <c r="I47" s="48"/>
      <c r="J47" s="48">
        <f>L47+O47</f>
        <v>0</v>
      </c>
      <c r="K47" s="48" t="s">
        <v>339</v>
      </c>
      <c r="L47" s="48"/>
      <c r="M47" s="48"/>
      <c r="N47" s="48"/>
      <c r="O47" s="48"/>
      <c r="P47" s="48"/>
      <c r="Q47" s="44">
        <f t="shared" si="2"/>
        <v>1910795</v>
      </c>
    </row>
    <row r="48" spans="1:17" s="26" customFormat="1" ht="152.25" customHeight="1">
      <c r="A48" s="45" t="s">
        <v>144</v>
      </c>
      <c r="B48" s="45" t="s">
        <v>145</v>
      </c>
      <c r="C48" s="45" t="s">
        <v>146</v>
      </c>
      <c r="D48" s="47" t="s">
        <v>147</v>
      </c>
      <c r="E48" s="48">
        <f t="shared" ref="E48:E59" si="13">F48+I48</f>
        <v>50290544.880000003</v>
      </c>
      <c r="F48" s="48">
        <f>76965000+556600+5000+12139000+6954500-200000-46129555.12</f>
        <v>50290544.880000003</v>
      </c>
      <c r="G48" s="48"/>
      <c r="H48" s="48"/>
      <c r="I48" s="48"/>
      <c r="J48" s="48">
        <f>L48+O48</f>
        <v>0</v>
      </c>
      <c r="K48" s="48">
        <f>13461500-13461500</f>
        <v>0</v>
      </c>
      <c r="L48" s="48"/>
      <c r="M48" s="48"/>
      <c r="N48" s="48"/>
      <c r="O48" s="48">
        <f>13461500-13461500</f>
        <v>0</v>
      </c>
      <c r="P48" s="48"/>
      <c r="Q48" s="44">
        <f t="shared" si="2"/>
        <v>50290544.880000003</v>
      </c>
    </row>
    <row r="49" spans="1:17" s="26" customFormat="1" ht="156" customHeight="1">
      <c r="A49" s="45" t="s">
        <v>326</v>
      </c>
      <c r="B49" s="45" t="s">
        <v>307</v>
      </c>
      <c r="C49" s="45" t="s">
        <v>306</v>
      </c>
      <c r="D49" s="47" t="s">
        <v>308</v>
      </c>
      <c r="E49" s="48">
        <f t="shared" si="13"/>
        <v>19519998.539999999</v>
      </c>
      <c r="F49" s="48">
        <f>24644600+2968300+200000-8292901.46</f>
        <v>19519998.539999999</v>
      </c>
      <c r="G49" s="48"/>
      <c r="H49" s="48"/>
      <c r="I49" s="48"/>
      <c r="J49" s="48">
        <f>L49+O49</f>
        <v>0</v>
      </c>
      <c r="K49" s="48"/>
      <c r="L49" s="48"/>
      <c r="M49" s="48"/>
      <c r="N49" s="48"/>
      <c r="O49" s="48"/>
      <c r="P49" s="48"/>
      <c r="Q49" s="44">
        <f t="shared" si="2"/>
        <v>19519998.539999999</v>
      </c>
    </row>
    <row r="50" spans="1:17" s="26" customFormat="1" ht="105.75" customHeight="1">
      <c r="A50" s="45" t="s">
        <v>148</v>
      </c>
      <c r="B50" s="45" t="s">
        <v>149</v>
      </c>
      <c r="C50" s="45" t="s">
        <v>150</v>
      </c>
      <c r="D50" s="47" t="s">
        <v>151</v>
      </c>
      <c r="E50" s="48">
        <f t="shared" si="13"/>
        <v>4040457.12</v>
      </c>
      <c r="F50" s="48">
        <f>6042100+50000+563900-2615542.78-0.1</f>
        <v>4040457.12</v>
      </c>
      <c r="G50" s="48"/>
      <c r="H50" s="48"/>
      <c r="I50" s="48"/>
      <c r="J50" s="48">
        <f t="shared" ref="J50:J73" si="14">L50+O50</f>
        <v>0</v>
      </c>
      <c r="K50" s="48"/>
      <c r="L50" s="48"/>
      <c r="M50" s="48"/>
      <c r="N50" s="48"/>
      <c r="O50" s="48"/>
      <c r="P50" s="48"/>
      <c r="Q50" s="44">
        <f t="shared" si="2"/>
        <v>4040457.12</v>
      </c>
    </row>
    <row r="51" spans="1:17" s="26" customFormat="1" ht="215.25" customHeight="1">
      <c r="A51" s="45" t="s">
        <v>152</v>
      </c>
      <c r="B51" s="45" t="s">
        <v>153</v>
      </c>
      <c r="C51" s="45" t="s">
        <v>154</v>
      </c>
      <c r="D51" s="47" t="s">
        <v>338</v>
      </c>
      <c r="E51" s="48">
        <f t="shared" si="13"/>
        <v>376802.58000000007</v>
      </c>
      <c r="F51" s="48">
        <f>2018400-1641597.42</f>
        <v>376802.58000000007</v>
      </c>
      <c r="G51" s="48"/>
      <c r="H51" s="48"/>
      <c r="I51" s="48"/>
      <c r="J51" s="48">
        <f t="shared" si="14"/>
        <v>0</v>
      </c>
      <c r="K51" s="48"/>
      <c r="L51" s="48"/>
      <c r="M51" s="48"/>
      <c r="N51" s="48"/>
      <c r="O51" s="48"/>
      <c r="P51" s="48"/>
      <c r="Q51" s="44">
        <f t="shared" si="2"/>
        <v>376802.58000000007</v>
      </c>
    </row>
    <row r="52" spans="1:17" s="26" customFormat="1" ht="146.25" customHeight="1">
      <c r="A52" s="45" t="s">
        <v>155</v>
      </c>
      <c r="B52" s="45" t="s">
        <v>156</v>
      </c>
      <c r="C52" s="45" t="s">
        <v>157</v>
      </c>
      <c r="D52" s="47" t="s">
        <v>158</v>
      </c>
      <c r="E52" s="48">
        <f t="shared" si="13"/>
        <v>224835.13</v>
      </c>
      <c r="F52" s="48">
        <f>991200-766364.87</f>
        <v>224835.13</v>
      </c>
      <c r="G52" s="48"/>
      <c r="H52" s="48"/>
      <c r="I52" s="48"/>
      <c r="J52" s="48">
        <f t="shared" si="14"/>
        <v>0</v>
      </c>
      <c r="K52" s="48"/>
      <c r="L52" s="48"/>
      <c r="M52" s="48"/>
      <c r="N52" s="48"/>
      <c r="O52" s="48"/>
      <c r="P52" s="48"/>
      <c r="Q52" s="44">
        <f t="shared" si="2"/>
        <v>224835.13</v>
      </c>
    </row>
    <row r="53" spans="1:17" s="26" customFormat="1" ht="135" customHeight="1">
      <c r="A53" s="52" t="s">
        <v>328</v>
      </c>
      <c r="B53" s="52" t="s">
        <v>329</v>
      </c>
      <c r="C53" s="45" t="s">
        <v>159</v>
      </c>
      <c r="D53" s="53" t="s">
        <v>330</v>
      </c>
      <c r="E53" s="48">
        <f t="shared" si="13"/>
        <v>10422700</v>
      </c>
      <c r="F53" s="48">
        <f>2045400+1000000+6377300+1000000</f>
        <v>10422700</v>
      </c>
      <c r="G53" s="48"/>
      <c r="H53" s="48"/>
      <c r="I53" s="48"/>
      <c r="J53" s="48">
        <f>L53+O53</f>
        <v>0</v>
      </c>
      <c r="K53" s="48"/>
      <c r="L53" s="48"/>
      <c r="M53" s="48"/>
      <c r="N53" s="48"/>
      <c r="O53" s="48"/>
      <c r="P53" s="48"/>
      <c r="Q53" s="44">
        <f t="shared" si="2"/>
        <v>10422700</v>
      </c>
    </row>
    <row r="54" spans="1:17" s="26" customFormat="1" ht="135" customHeight="1">
      <c r="A54" s="52" t="s">
        <v>443</v>
      </c>
      <c r="B54" s="52" t="s">
        <v>444</v>
      </c>
      <c r="C54" s="45" t="s">
        <v>159</v>
      </c>
      <c r="D54" s="53" t="s">
        <v>445</v>
      </c>
      <c r="E54" s="48">
        <f t="shared" si="13"/>
        <v>766364.87</v>
      </c>
      <c r="F54" s="48">
        <v>766364.87</v>
      </c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4">
        <f t="shared" si="2"/>
        <v>766364.87</v>
      </c>
    </row>
    <row r="55" spans="1:17" s="26" customFormat="1" ht="120.75" customHeight="1">
      <c r="A55" s="45" t="s">
        <v>160</v>
      </c>
      <c r="B55" s="45" t="s">
        <v>161</v>
      </c>
      <c r="C55" s="45" t="s">
        <v>159</v>
      </c>
      <c r="D55" s="47" t="s">
        <v>348</v>
      </c>
      <c r="E55" s="48">
        <f t="shared" si="13"/>
        <v>78166994.079999998</v>
      </c>
      <c r="F55" s="48">
        <f>79166994.08-1000000</f>
        <v>78166994.079999998</v>
      </c>
      <c r="G55" s="48"/>
      <c r="H55" s="48"/>
      <c r="I55" s="48"/>
      <c r="J55" s="48">
        <f>L55+O55</f>
        <v>17416870</v>
      </c>
      <c r="K55" s="48">
        <f>310400+8581200+16719200+1012200+1539000+265900-13461500+220470+2200000+30000</f>
        <v>17416870</v>
      </c>
      <c r="L55" s="48"/>
      <c r="M55" s="48"/>
      <c r="N55" s="48"/>
      <c r="O55" s="48">
        <f>8891600+16719200+1012200+1539000+265900+220470-13461500+2200000+30000</f>
        <v>17416870</v>
      </c>
      <c r="P55" s="48"/>
      <c r="Q55" s="44">
        <f t="shared" si="2"/>
        <v>95583864.079999998</v>
      </c>
    </row>
    <row r="56" spans="1:17" s="26" customFormat="1" ht="128.25" customHeight="1">
      <c r="A56" s="45" t="s">
        <v>162</v>
      </c>
      <c r="B56" s="45" t="s">
        <v>163</v>
      </c>
      <c r="C56" s="45" t="s">
        <v>164</v>
      </c>
      <c r="D56" s="54" t="s">
        <v>165</v>
      </c>
      <c r="E56" s="48">
        <f t="shared" si="13"/>
        <v>1850000</v>
      </c>
      <c r="F56" s="48">
        <v>0</v>
      </c>
      <c r="G56" s="48"/>
      <c r="H56" s="48"/>
      <c r="I56" s="48">
        <v>1850000</v>
      </c>
      <c r="J56" s="48">
        <f t="shared" si="14"/>
        <v>0</v>
      </c>
      <c r="K56" s="48"/>
      <c r="L56" s="48"/>
      <c r="M56" s="48"/>
      <c r="N56" s="48"/>
      <c r="O56" s="48"/>
      <c r="P56" s="48"/>
      <c r="Q56" s="44">
        <f t="shared" si="2"/>
        <v>1850000</v>
      </c>
    </row>
    <row r="57" spans="1:17" s="26" customFormat="1" ht="128.25" customHeight="1">
      <c r="A57" s="71" t="s">
        <v>477</v>
      </c>
      <c r="B57" s="45" t="s">
        <v>341</v>
      </c>
      <c r="C57" s="45" t="s">
        <v>76</v>
      </c>
      <c r="D57" s="54" t="s">
        <v>478</v>
      </c>
      <c r="E57" s="48"/>
      <c r="F57" s="48"/>
      <c r="G57" s="48"/>
      <c r="H57" s="48"/>
      <c r="I57" s="48"/>
      <c r="J57" s="48">
        <f t="shared" si="14"/>
        <v>13461500</v>
      </c>
      <c r="K57" s="48">
        <v>13461500</v>
      </c>
      <c r="L57" s="48"/>
      <c r="M57" s="48"/>
      <c r="N57" s="48"/>
      <c r="O57" s="48">
        <v>13461500</v>
      </c>
      <c r="P57" s="48"/>
      <c r="Q57" s="44">
        <f t="shared" si="2"/>
        <v>13461500</v>
      </c>
    </row>
    <row r="58" spans="1:17" s="26" customFormat="1" ht="128.25" customHeight="1">
      <c r="A58" s="45" t="s">
        <v>474</v>
      </c>
      <c r="B58" s="45" t="s">
        <v>475</v>
      </c>
      <c r="C58" s="45" t="s">
        <v>60</v>
      </c>
      <c r="D58" s="54" t="s">
        <v>479</v>
      </c>
      <c r="E58" s="48"/>
      <c r="F58" s="48"/>
      <c r="G58" s="48"/>
      <c r="H58" s="48"/>
      <c r="I58" s="48"/>
      <c r="J58" s="48">
        <f t="shared" si="14"/>
        <v>2028348</v>
      </c>
      <c r="K58" s="48">
        <v>2028348</v>
      </c>
      <c r="L58" s="48"/>
      <c r="M58" s="48"/>
      <c r="N58" s="48"/>
      <c r="O58" s="48">
        <v>2028348</v>
      </c>
      <c r="P58" s="48"/>
      <c r="Q58" s="44">
        <f t="shared" si="2"/>
        <v>2028348</v>
      </c>
    </row>
    <row r="59" spans="1:17" s="26" customFormat="1" ht="89.25" customHeight="1">
      <c r="A59" s="45" t="s">
        <v>331</v>
      </c>
      <c r="B59" s="45" t="s">
        <v>141</v>
      </c>
      <c r="C59" s="45" t="s">
        <v>60</v>
      </c>
      <c r="D59" s="54" t="s">
        <v>142</v>
      </c>
      <c r="E59" s="48">
        <f t="shared" si="13"/>
        <v>353100</v>
      </c>
      <c r="F59" s="48">
        <v>353100</v>
      </c>
      <c r="G59" s="48"/>
      <c r="H59" s="48"/>
      <c r="I59" s="48"/>
      <c r="J59" s="48">
        <f t="shared" si="14"/>
        <v>0</v>
      </c>
      <c r="K59" s="48"/>
      <c r="L59" s="48"/>
      <c r="M59" s="48"/>
      <c r="N59" s="48"/>
      <c r="O59" s="48"/>
      <c r="P59" s="48"/>
      <c r="Q59" s="44">
        <f t="shared" si="2"/>
        <v>353100</v>
      </c>
    </row>
    <row r="60" spans="1:17" s="10" customFormat="1" ht="171.95" customHeight="1">
      <c r="A60" s="42" t="s">
        <v>22</v>
      </c>
      <c r="B60" s="42"/>
      <c r="C60" s="42"/>
      <c r="D60" s="43" t="s">
        <v>23</v>
      </c>
      <c r="E60" s="44">
        <f>E61</f>
        <v>87951859</v>
      </c>
      <c r="F60" s="44">
        <f t="shared" ref="F60:P60" si="15">F61</f>
        <v>87951859</v>
      </c>
      <c r="G60" s="44">
        <f t="shared" si="15"/>
        <v>49292612</v>
      </c>
      <c r="H60" s="44">
        <f t="shared" si="15"/>
        <v>1088748</v>
      </c>
      <c r="I60" s="44">
        <f t="shared" si="15"/>
        <v>0</v>
      </c>
      <c r="J60" s="44">
        <f t="shared" si="15"/>
        <v>9206637</v>
      </c>
      <c r="K60" s="44">
        <f t="shared" si="15"/>
        <v>9177837</v>
      </c>
      <c r="L60" s="44">
        <f t="shared" si="15"/>
        <v>28800</v>
      </c>
      <c r="M60" s="44">
        <f t="shared" si="15"/>
        <v>0</v>
      </c>
      <c r="N60" s="44">
        <f t="shared" si="15"/>
        <v>0</v>
      </c>
      <c r="O60" s="44">
        <f t="shared" si="15"/>
        <v>9177837</v>
      </c>
      <c r="P60" s="44">
        <f t="shared" si="15"/>
        <v>0</v>
      </c>
      <c r="Q60" s="44">
        <f t="shared" si="2"/>
        <v>97158496</v>
      </c>
    </row>
    <row r="61" spans="1:17" s="10" customFormat="1" ht="146.25" customHeight="1">
      <c r="A61" s="42" t="s">
        <v>24</v>
      </c>
      <c r="B61" s="42"/>
      <c r="C61" s="42"/>
      <c r="D61" s="43" t="s">
        <v>23</v>
      </c>
      <c r="E61" s="44">
        <f>SUM(E62:E76)</f>
        <v>87951859</v>
      </c>
      <c r="F61" s="44">
        <f>SUM(F62:F76)</f>
        <v>87951859</v>
      </c>
      <c r="G61" s="44">
        <f t="shared" ref="G61:P61" si="16">SUM(G62:G76)</f>
        <v>49292612</v>
      </c>
      <c r="H61" s="44">
        <f t="shared" si="16"/>
        <v>1088748</v>
      </c>
      <c r="I61" s="44">
        <f t="shared" si="16"/>
        <v>0</v>
      </c>
      <c r="J61" s="44">
        <f t="shared" si="16"/>
        <v>9206637</v>
      </c>
      <c r="K61" s="44">
        <f>SUM(K62:K76)</f>
        <v>9177837</v>
      </c>
      <c r="L61" s="44">
        <f t="shared" si="16"/>
        <v>28800</v>
      </c>
      <c r="M61" s="44">
        <f t="shared" si="16"/>
        <v>0</v>
      </c>
      <c r="N61" s="44">
        <f t="shared" si="16"/>
        <v>0</v>
      </c>
      <c r="O61" s="44">
        <f t="shared" si="16"/>
        <v>9177837</v>
      </c>
      <c r="P61" s="44">
        <f t="shared" si="16"/>
        <v>0</v>
      </c>
      <c r="Q61" s="44">
        <f t="shared" si="2"/>
        <v>97158496</v>
      </c>
    </row>
    <row r="62" spans="1:17" s="10" customFormat="1" ht="230.25" customHeight="1">
      <c r="A62" s="45" t="s">
        <v>166</v>
      </c>
      <c r="B62" s="45" t="s">
        <v>113</v>
      </c>
      <c r="C62" s="45" t="s">
        <v>53</v>
      </c>
      <c r="D62" s="47" t="s">
        <v>304</v>
      </c>
      <c r="E62" s="48">
        <f>F62+I62</f>
        <v>38507231</v>
      </c>
      <c r="F62" s="48">
        <f>38917031-409800</f>
        <v>38507231</v>
      </c>
      <c r="G62" s="48">
        <f>30821520-360600</f>
        <v>30460920</v>
      </c>
      <c r="H62" s="48">
        <v>526675</v>
      </c>
      <c r="I62" s="44"/>
      <c r="J62" s="44"/>
      <c r="K62" s="44"/>
      <c r="L62" s="44"/>
      <c r="M62" s="44"/>
      <c r="N62" s="44"/>
      <c r="O62" s="44"/>
      <c r="P62" s="44"/>
      <c r="Q62" s="44">
        <f t="shared" si="2"/>
        <v>38507231</v>
      </c>
    </row>
    <row r="63" spans="1:17" s="10" customFormat="1" ht="146.25" customHeight="1">
      <c r="A63" s="45" t="s">
        <v>168</v>
      </c>
      <c r="B63" s="45" t="s">
        <v>60</v>
      </c>
      <c r="C63" s="45" t="s">
        <v>61</v>
      </c>
      <c r="D63" s="47" t="s">
        <v>62</v>
      </c>
      <c r="E63" s="48">
        <f>F63+I63</f>
        <v>50000</v>
      </c>
      <c r="F63" s="48">
        <v>50000</v>
      </c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>
        <f t="shared" si="2"/>
        <v>50000</v>
      </c>
    </row>
    <row r="64" spans="1:17" s="10" customFormat="1" ht="146.25" customHeight="1">
      <c r="A64" s="45" t="s">
        <v>169</v>
      </c>
      <c r="B64" s="45" t="s">
        <v>170</v>
      </c>
      <c r="C64" s="45" t="s">
        <v>121</v>
      </c>
      <c r="D64" s="47" t="s">
        <v>171</v>
      </c>
      <c r="E64" s="48">
        <f t="shared" ref="E64:E65" si="17">F64+I64</f>
        <v>239000</v>
      </c>
      <c r="F64" s="48">
        <f>339000-100000</f>
        <v>239000</v>
      </c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>
        <f t="shared" si="2"/>
        <v>239000</v>
      </c>
    </row>
    <row r="65" spans="1:17" s="10" customFormat="1" ht="146.25" customHeight="1">
      <c r="A65" s="45" t="s">
        <v>335</v>
      </c>
      <c r="B65" s="45" t="s">
        <v>172</v>
      </c>
      <c r="C65" s="45" t="s">
        <v>64</v>
      </c>
      <c r="D65" s="47" t="s">
        <v>173</v>
      </c>
      <c r="E65" s="48">
        <f t="shared" si="17"/>
        <v>204919</v>
      </c>
      <c r="F65" s="48">
        <f>4919+200000</f>
        <v>204919</v>
      </c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>
        <f t="shared" si="2"/>
        <v>204919</v>
      </c>
    </row>
    <row r="66" spans="1:17" s="10" customFormat="1" ht="178.5" customHeight="1">
      <c r="A66" s="45" t="s">
        <v>174</v>
      </c>
      <c r="B66" s="45" t="s">
        <v>175</v>
      </c>
      <c r="C66" s="45" t="s">
        <v>64</v>
      </c>
      <c r="D66" s="47" t="s">
        <v>176</v>
      </c>
      <c r="E66" s="48">
        <f>F66+I66</f>
        <v>1604020</v>
      </c>
      <c r="F66" s="48">
        <f>2502695-698675-200000</f>
        <v>1604020</v>
      </c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>
        <f t="shared" ref="Q66:Q122" si="18">+E66+J66</f>
        <v>1604020</v>
      </c>
    </row>
    <row r="67" spans="1:17" s="26" customFormat="1" ht="177" customHeight="1">
      <c r="A67" s="45" t="s">
        <v>332</v>
      </c>
      <c r="B67" s="45" t="s">
        <v>333</v>
      </c>
      <c r="C67" s="45" t="s">
        <v>64</v>
      </c>
      <c r="D67" s="55" t="s">
        <v>334</v>
      </c>
      <c r="E67" s="48">
        <f t="shared" ref="E67" si="19">F67+I67</f>
        <v>458100</v>
      </c>
      <c r="F67" s="48">
        <v>458100</v>
      </c>
      <c r="G67" s="48"/>
      <c r="H67" s="48"/>
      <c r="I67" s="48"/>
      <c r="J67" s="48">
        <f>L67+O67</f>
        <v>0</v>
      </c>
      <c r="K67" s="48"/>
      <c r="L67" s="48"/>
      <c r="M67" s="48"/>
      <c r="N67" s="48"/>
      <c r="O67" s="48"/>
      <c r="P67" s="48"/>
      <c r="Q67" s="44">
        <f t="shared" si="18"/>
        <v>458100</v>
      </c>
    </row>
    <row r="68" spans="1:17" s="25" customFormat="1" ht="300.75" customHeight="1">
      <c r="A68" s="45" t="s">
        <v>178</v>
      </c>
      <c r="B68" s="45" t="s">
        <v>179</v>
      </c>
      <c r="C68" s="45" t="s">
        <v>119</v>
      </c>
      <c r="D68" s="47" t="s">
        <v>180</v>
      </c>
      <c r="E68" s="48">
        <f t="shared" ref="E68:E73" si="20">F68+I68</f>
        <v>21397260</v>
      </c>
      <c r="F68" s="48">
        <f>20987460+409800</f>
        <v>21397260</v>
      </c>
      <c r="G68" s="48">
        <f>14958700+360600</f>
        <v>15319300</v>
      </c>
      <c r="H68" s="48">
        <v>452640</v>
      </c>
      <c r="I68" s="48"/>
      <c r="J68" s="48">
        <f t="shared" si="14"/>
        <v>28800</v>
      </c>
      <c r="K68" s="48"/>
      <c r="L68" s="48">
        <v>28800</v>
      </c>
      <c r="M68" s="48"/>
      <c r="N68" s="48"/>
      <c r="O68" s="48"/>
      <c r="P68" s="48"/>
      <c r="Q68" s="44">
        <f t="shared" si="18"/>
        <v>21426060</v>
      </c>
    </row>
    <row r="69" spans="1:17" s="25" customFormat="1" ht="159.75" customHeight="1">
      <c r="A69" s="45" t="s">
        <v>181</v>
      </c>
      <c r="B69" s="45" t="s">
        <v>182</v>
      </c>
      <c r="C69" s="45" t="s">
        <v>115</v>
      </c>
      <c r="D69" s="47" t="s">
        <v>183</v>
      </c>
      <c r="E69" s="48">
        <f t="shared" si="20"/>
        <v>4626419</v>
      </c>
      <c r="F69" s="48">
        <f>4674419-50000+2000</f>
        <v>4626419</v>
      </c>
      <c r="G69" s="48">
        <v>3410677</v>
      </c>
      <c r="H69" s="48">
        <v>109433</v>
      </c>
      <c r="I69" s="48"/>
      <c r="J69" s="48">
        <f t="shared" si="14"/>
        <v>22000</v>
      </c>
      <c r="K69" s="48">
        <v>22000</v>
      </c>
      <c r="L69" s="48"/>
      <c r="M69" s="48"/>
      <c r="N69" s="48"/>
      <c r="O69" s="48">
        <v>22000</v>
      </c>
      <c r="P69" s="48"/>
      <c r="Q69" s="44">
        <f t="shared" si="18"/>
        <v>4648419</v>
      </c>
    </row>
    <row r="70" spans="1:17" s="25" customFormat="1" ht="279">
      <c r="A70" s="45" t="s">
        <v>184</v>
      </c>
      <c r="B70" s="45" t="s">
        <v>185</v>
      </c>
      <c r="C70" s="45" t="s">
        <v>115</v>
      </c>
      <c r="D70" s="47" t="s">
        <v>380</v>
      </c>
      <c r="E70" s="48">
        <f t="shared" si="20"/>
        <v>1565250</v>
      </c>
      <c r="F70" s="48">
        <v>1565250</v>
      </c>
      <c r="G70" s="48"/>
      <c r="H70" s="48"/>
      <c r="I70" s="48"/>
      <c r="J70" s="48">
        <f t="shared" si="14"/>
        <v>0</v>
      </c>
      <c r="K70" s="48"/>
      <c r="L70" s="48"/>
      <c r="M70" s="48"/>
      <c r="N70" s="48"/>
      <c r="O70" s="48"/>
      <c r="P70" s="48"/>
      <c r="Q70" s="44">
        <f t="shared" si="18"/>
        <v>1565250</v>
      </c>
    </row>
    <row r="71" spans="1:17" s="25" customFormat="1" ht="302.25">
      <c r="A71" s="45" t="s">
        <v>186</v>
      </c>
      <c r="B71" s="45" t="s">
        <v>187</v>
      </c>
      <c r="C71" s="45" t="s">
        <v>167</v>
      </c>
      <c r="D71" s="47" t="s">
        <v>188</v>
      </c>
      <c r="E71" s="48">
        <f t="shared" si="20"/>
        <v>963300</v>
      </c>
      <c r="F71" s="48">
        <v>963300</v>
      </c>
      <c r="G71" s="48"/>
      <c r="H71" s="48"/>
      <c r="I71" s="48"/>
      <c r="J71" s="48">
        <f t="shared" si="14"/>
        <v>0</v>
      </c>
      <c r="K71" s="48"/>
      <c r="L71" s="48"/>
      <c r="M71" s="48"/>
      <c r="N71" s="48"/>
      <c r="O71" s="48"/>
      <c r="P71" s="48"/>
      <c r="Q71" s="44">
        <f t="shared" si="18"/>
        <v>963300</v>
      </c>
    </row>
    <row r="72" spans="1:17" s="25" customFormat="1" ht="228" customHeight="1">
      <c r="A72" s="45" t="s">
        <v>189</v>
      </c>
      <c r="B72" s="45" t="s">
        <v>190</v>
      </c>
      <c r="C72" s="45" t="s">
        <v>121</v>
      </c>
      <c r="D72" s="47" t="s">
        <v>191</v>
      </c>
      <c r="E72" s="48">
        <f t="shared" si="20"/>
        <v>173500</v>
      </c>
      <c r="F72" s="48">
        <v>173500</v>
      </c>
      <c r="G72" s="48"/>
      <c r="H72" s="48"/>
      <c r="I72" s="48"/>
      <c r="J72" s="48">
        <f t="shared" si="14"/>
        <v>0</v>
      </c>
      <c r="K72" s="48"/>
      <c r="L72" s="48"/>
      <c r="M72" s="48"/>
      <c r="N72" s="48"/>
      <c r="O72" s="48"/>
      <c r="P72" s="48"/>
      <c r="Q72" s="44">
        <f t="shared" si="18"/>
        <v>173500</v>
      </c>
    </row>
    <row r="73" spans="1:17" s="25" customFormat="1" ht="211.7" customHeight="1">
      <c r="A73" s="45" t="s">
        <v>192</v>
      </c>
      <c r="B73" s="45" t="s">
        <v>193</v>
      </c>
      <c r="C73" s="45" t="s">
        <v>194</v>
      </c>
      <c r="D73" s="47" t="s">
        <v>195</v>
      </c>
      <c r="E73" s="48">
        <f t="shared" si="20"/>
        <v>186101</v>
      </c>
      <c r="F73" s="48">
        <f>416101-230000</f>
        <v>186101</v>
      </c>
      <c r="G73" s="48">
        <f>226715-125000</f>
        <v>101715</v>
      </c>
      <c r="H73" s="48"/>
      <c r="I73" s="48"/>
      <c r="J73" s="48">
        <f t="shared" si="14"/>
        <v>0</v>
      </c>
      <c r="K73" s="48"/>
      <c r="L73" s="48"/>
      <c r="M73" s="48"/>
      <c r="N73" s="48"/>
      <c r="O73" s="48"/>
      <c r="P73" s="48"/>
      <c r="Q73" s="44">
        <f t="shared" si="18"/>
        <v>186101</v>
      </c>
    </row>
    <row r="74" spans="1:17" s="25" customFormat="1" ht="409.6" customHeight="1">
      <c r="A74" s="45" t="s">
        <v>471</v>
      </c>
      <c r="B74" s="45" t="s">
        <v>472</v>
      </c>
      <c r="C74" s="45" t="s">
        <v>167</v>
      </c>
      <c r="D74" s="47" t="s">
        <v>473</v>
      </c>
      <c r="E74" s="48"/>
      <c r="F74" s="48"/>
      <c r="G74" s="48"/>
      <c r="H74" s="48"/>
      <c r="I74" s="48"/>
      <c r="J74" s="48">
        <f>L74+O74</f>
        <v>6355837</v>
      </c>
      <c r="K74" s="48">
        <v>6355837</v>
      </c>
      <c r="L74" s="48"/>
      <c r="M74" s="48"/>
      <c r="N74" s="48"/>
      <c r="O74" s="48">
        <v>6355837</v>
      </c>
      <c r="P74" s="48"/>
      <c r="Q74" s="44">
        <f t="shared" si="18"/>
        <v>6355837</v>
      </c>
    </row>
    <row r="75" spans="1:17" s="26" customFormat="1" ht="129" customHeight="1">
      <c r="A75" s="45" t="s">
        <v>196</v>
      </c>
      <c r="B75" s="45" t="s">
        <v>197</v>
      </c>
      <c r="C75" s="45" t="s">
        <v>123</v>
      </c>
      <c r="D75" s="47" t="s">
        <v>198</v>
      </c>
      <c r="E75" s="48">
        <f>F75+I75</f>
        <v>17936999</v>
      </c>
      <c r="F75" s="48">
        <f>17119299+564500+253200</f>
        <v>17936999</v>
      </c>
      <c r="G75" s="48"/>
      <c r="H75" s="48"/>
      <c r="I75" s="48"/>
      <c r="J75" s="48">
        <f>L75+O75</f>
        <v>2800000</v>
      </c>
      <c r="K75" s="48">
        <v>2800000</v>
      </c>
      <c r="L75" s="48"/>
      <c r="M75" s="48"/>
      <c r="N75" s="48"/>
      <c r="O75" s="48">
        <v>2800000</v>
      </c>
      <c r="P75" s="48"/>
      <c r="Q75" s="44">
        <f t="shared" si="18"/>
        <v>20736999</v>
      </c>
    </row>
    <row r="76" spans="1:17" s="26" customFormat="1" ht="83.25" customHeight="1">
      <c r="A76" s="45" t="s">
        <v>336</v>
      </c>
      <c r="B76" s="45" t="s">
        <v>141</v>
      </c>
      <c r="C76" s="45" t="s">
        <v>60</v>
      </c>
      <c r="D76" s="54" t="s">
        <v>142</v>
      </c>
      <c r="E76" s="48">
        <f>F76+I76</f>
        <v>39760</v>
      </c>
      <c r="F76" s="48">
        <v>39760</v>
      </c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4">
        <f t="shared" si="18"/>
        <v>39760</v>
      </c>
    </row>
    <row r="77" spans="1:17" s="10" customFormat="1" ht="131.25" customHeight="1">
      <c r="A77" s="42" t="s">
        <v>25</v>
      </c>
      <c r="B77" s="42"/>
      <c r="C77" s="42"/>
      <c r="D77" s="43" t="s">
        <v>26</v>
      </c>
      <c r="E77" s="44">
        <f>E78</f>
        <v>81665925.200000003</v>
      </c>
      <c r="F77" s="44">
        <f t="shared" ref="F77:P77" si="21">F78</f>
        <v>77890731.200000003</v>
      </c>
      <c r="G77" s="44">
        <f t="shared" si="21"/>
        <v>52983899</v>
      </c>
      <c r="H77" s="44">
        <f t="shared" si="21"/>
        <v>2139585</v>
      </c>
      <c r="I77" s="44">
        <f t="shared" si="21"/>
        <v>3775194</v>
      </c>
      <c r="J77" s="44">
        <f t="shared" si="21"/>
        <v>6418400</v>
      </c>
      <c r="K77" s="44">
        <f t="shared" si="21"/>
        <v>319000</v>
      </c>
      <c r="L77" s="44">
        <f t="shared" si="21"/>
        <v>5898200</v>
      </c>
      <c r="M77" s="44">
        <f t="shared" si="21"/>
        <v>4433900</v>
      </c>
      <c r="N77" s="44">
        <f t="shared" si="21"/>
        <v>181400</v>
      </c>
      <c r="O77" s="44">
        <f t="shared" si="21"/>
        <v>520200</v>
      </c>
      <c r="P77" s="44">
        <f t="shared" si="21"/>
        <v>0</v>
      </c>
      <c r="Q77" s="44">
        <f t="shared" si="18"/>
        <v>88084325.200000003</v>
      </c>
    </row>
    <row r="78" spans="1:17" s="10" customFormat="1" ht="111.75" customHeight="1">
      <c r="A78" s="42" t="s">
        <v>27</v>
      </c>
      <c r="B78" s="42"/>
      <c r="C78" s="42"/>
      <c r="D78" s="43" t="s">
        <v>26</v>
      </c>
      <c r="E78" s="44">
        <f>SUM(E79:E88)</f>
        <v>81665925.200000003</v>
      </c>
      <c r="F78" s="44">
        <f t="shared" ref="F78" si="22">SUM(F79:F88)</f>
        <v>77890731.200000003</v>
      </c>
      <c r="G78" s="44">
        <f>SUM(G79:G89)</f>
        <v>52983899</v>
      </c>
      <c r="H78" s="44">
        <f t="shared" ref="H78:Q78" si="23">SUM(H79:H89)</f>
        <v>2139585</v>
      </c>
      <c r="I78" s="44">
        <f t="shared" si="23"/>
        <v>3775194</v>
      </c>
      <c r="J78" s="44">
        <f t="shared" si="23"/>
        <v>6418400</v>
      </c>
      <c r="K78" s="44">
        <f t="shared" si="23"/>
        <v>319000</v>
      </c>
      <c r="L78" s="44">
        <f t="shared" si="23"/>
        <v>5898200</v>
      </c>
      <c r="M78" s="44">
        <f t="shared" si="23"/>
        <v>4433900</v>
      </c>
      <c r="N78" s="44">
        <f t="shared" si="23"/>
        <v>181400</v>
      </c>
      <c r="O78" s="44">
        <f t="shared" si="23"/>
        <v>520200</v>
      </c>
      <c r="P78" s="44">
        <f t="shared" si="23"/>
        <v>0</v>
      </c>
      <c r="Q78" s="44">
        <f t="shared" si="23"/>
        <v>88084325.200000003</v>
      </c>
    </row>
    <row r="79" spans="1:17" s="26" customFormat="1" ht="192.75" customHeight="1">
      <c r="A79" s="45" t="s">
        <v>199</v>
      </c>
      <c r="B79" s="45" t="s">
        <v>113</v>
      </c>
      <c r="C79" s="45" t="s">
        <v>53</v>
      </c>
      <c r="D79" s="47" t="s">
        <v>304</v>
      </c>
      <c r="E79" s="48">
        <f>F79+I79</f>
        <v>1836300</v>
      </c>
      <c r="F79" s="48">
        <v>1836300</v>
      </c>
      <c r="G79" s="48">
        <f>1518380-11765</f>
        <v>1506615</v>
      </c>
      <c r="H79" s="48">
        <v>40510</v>
      </c>
      <c r="I79" s="48"/>
      <c r="J79" s="48">
        <f>L79+O79</f>
        <v>0</v>
      </c>
      <c r="K79" s="48"/>
      <c r="L79" s="48"/>
      <c r="M79" s="48"/>
      <c r="N79" s="48"/>
      <c r="O79" s="48"/>
      <c r="P79" s="48"/>
      <c r="Q79" s="44">
        <f t="shared" si="18"/>
        <v>1836300</v>
      </c>
    </row>
    <row r="80" spans="1:17" s="26" customFormat="1" ht="86.25" customHeight="1">
      <c r="A80" s="45" t="s">
        <v>200</v>
      </c>
      <c r="B80" s="45" t="s">
        <v>201</v>
      </c>
      <c r="C80" s="45" t="s">
        <v>124</v>
      </c>
      <c r="D80" s="56" t="s">
        <v>400</v>
      </c>
      <c r="E80" s="48">
        <f>F80+I80</f>
        <v>51764584</v>
      </c>
      <c r="F80" s="48">
        <v>51764584</v>
      </c>
      <c r="G80" s="48">
        <v>40247684</v>
      </c>
      <c r="H80" s="48">
        <v>1079675</v>
      </c>
      <c r="I80" s="48"/>
      <c r="J80" s="48">
        <f>L80+O80</f>
        <v>5649400</v>
      </c>
      <c r="K80" s="48"/>
      <c r="L80" s="48">
        <v>5473200</v>
      </c>
      <c r="M80" s="48">
        <v>4253900</v>
      </c>
      <c r="N80" s="48">
        <v>163900</v>
      </c>
      <c r="O80" s="48">
        <v>176200</v>
      </c>
      <c r="P80" s="48"/>
      <c r="Q80" s="44">
        <f t="shared" si="18"/>
        <v>57413984</v>
      </c>
    </row>
    <row r="81" spans="1:17" s="26" customFormat="1" ht="76.7" customHeight="1">
      <c r="A81" s="45" t="s">
        <v>202</v>
      </c>
      <c r="B81" s="45" t="s">
        <v>203</v>
      </c>
      <c r="C81" s="45" t="s">
        <v>204</v>
      </c>
      <c r="D81" s="47" t="s">
        <v>205</v>
      </c>
      <c r="E81" s="48">
        <f t="shared" ref="E81:E82" si="24">F81+I81</f>
        <v>7782400</v>
      </c>
      <c r="F81" s="48">
        <v>7782400</v>
      </c>
      <c r="G81" s="48">
        <f>4852300-73500</f>
        <v>4778800</v>
      </c>
      <c r="H81" s="48">
        <v>636100</v>
      </c>
      <c r="I81" s="48"/>
      <c r="J81" s="48">
        <f>L81+O81</f>
        <v>60000</v>
      </c>
      <c r="K81" s="48"/>
      <c r="L81" s="48">
        <v>60000</v>
      </c>
      <c r="M81" s="48"/>
      <c r="N81" s="48">
        <v>1000</v>
      </c>
      <c r="O81" s="48"/>
      <c r="P81" s="48"/>
      <c r="Q81" s="44">
        <f t="shared" si="18"/>
        <v>7842400</v>
      </c>
    </row>
    <row r="82" spans="1:17" s="26" customFormat="1" ht="207" customHeight="1">
      <c r="A82" s="45" t="s">
        <v>206</v>
      </c>
      <c r="B82" s="45" t="s">
        <v>207</v>
      </c>
      <c r="C82" s="45" t="s">
        <v>208</v>
      </c>
      <c r="D82" s="47" t="s">
        <v>209</v>
      </c>
      <c r="E82" s="48">
        <f t="shared" si="24"/>
        <v>7162500</v>
      </c>
      <c r="F82" s="48">
        <v>7162500</v>
      </c>
      <c r="G82" s="48">
        <v>5072600</v>
      </c>
      <c r="H82" s="48">
        <v>294100</v>
      </c>
      <c r="I82" s="48"/>
      <c r="J82" s="48">
        <f>L82+O82</f>
        <v>405000</v>
      </c>
      <c r="K82" s="48">
        <v>105000</v>
      </c>
      <c r="L82" s="48">
        <v>275000</v>
      </c>
      <c r="M82" s="48">
        <v>180000</v>
      </c>
      <c r="N82" s="48">
        <v>16500</v>
      </c>
      <c r="O82" s="48">
        <f>25000+105000</f>
        <v>130000</v>
      </c>
      <c r="P82" s="48"/>
      <c r="Q82" s="44">
        <f t="shared" si="18"/>
        <v>7567500</v>
      </c>
    </row>
    <row r="83" spans="1:17" s="26" customFormat="1" ht="96.75" customHeight="1">
      <c r="A83" s="45" t="s">
        <v>210</v>
      </c>
      <c r="B83" s="45" t="s">
        <v>211</v>
      </c>
      <c r="C83" s="45" t="s">
        <v>212</v>
      </c>
      <c r="D83" s="47" t="s">
        <v>213</v>
      </c>
      <c r="E83" s="48">
        <f>F83+I83</f>
        <v>989000</v>
      </c>
      <c r="F83" s="48">
        <v>989000</v>
      </c>
      <c r="G83" s="48"/>
      <c r="H83" s="48"/>
      <c r="I83" s="48"/>
      <c r="J83" s="48">
        <f>L83+O83</f>
        <v>0</v>
      </c>
      <c r="K83" s="48"/>
      <c r="L83" s="48"/>
      <c r="M83" s="48"/>
      <c r="N83" s="48"/>
      <c r="O83" s="48"/>
      <c r="P83" s="48"/>
      <c r="Q83" s="44">
        <f t="shared" si="18"/>
        <v>989000</v>
      </c>
    </row>
    <row r="84" spans="1:17" s="26" customFormat="1" ht="147.75" customHeight="1">
      <c r="A84" s="45" t="s">
        <v>214</v>
      </c>
      <c r="B84" s="45" t="s">
        <v>215</v>
      </c>
      <c r="C84" s="45" t="s">
        <v>216</v>
      </c>
      <c r="D84" s="47" t="s">
        <v>217</v>
      </c>
      <c r="E84" s="48">
        <f t="shared" ref="E84:E85" si="25">F84+I84</f>
        <v>1929880</v>
      </c>
      <c r="F84" s="48">
        <v>1929880</v>
      </c>
      <c r="G84" s="48">
        <v>1378200</v>
      </c>
      <c r="H84" s="48">
        <v>89200</v>
      </c>
      <c r="I84" s="48"/>
      <c r="J84" s="48">
        <f t="shared" ref="J84:J89" si="26">L84+O84</f>
        <v>0</v>
      </c>
      <c r="K84" s="48"/>
      <c r="L84" s="48"/>
      <c r="M84" s="48"/>
      <c r="N84" s="48"/>
      <c r="O84" s="48"/>
      <c r="P84" s="48"/>
      <c r="Q84" s="44">
        <f t="shared" si="18"/>
        <v>1929880</v>
      </c>
    </row>
    <row r="85" spans="1:17" s="26" customFormat="1" ht="102.75" customHeight="1">
      <c r="A85" s="45" t="s">
        <v>218</v>
      </c>
      <c r="B85" s="45" t="s">
        <v>219</v>
      </c>
      <c r="C85" s="45" t="s">
        <v>216</v>
      </c>
      <c r="D85" s="47" t="s">
        <v>220</v>
      </c>
      <c r="E85" s="48">
        <f t="shared" si="25"/>
        <v>6426067.2000000002</v>
      </c>
      <c r="F85" s="48">
        <f>7948000-1469632-52300.8</f>
        <v>6426067.2000000002</v>
      </c>
      <c r="G85" s="48"/>
      <c r="H85" s="48"/>
      <c r="I85" s="48"/>
      <c r="J85" s="48">
        <f t="shared" si="26"/>
        <v>50000</v>
      </c>
      <c r="K85" s="48">
        <v>50000</v>
      </c>
      <c r="L85" s="48"/>
      <c r="M85" s="48"/>
      <c r="N85" s="48"/>
      <c r="O85" s="48">
        <v>50000</v>
      </c>
      <c r="P85" s="48"/>
      <c r="Q85" s="44">
        <f t="shared" si="18"/>
        <v>6476067.2000000002</v>
      </c>
    </row>
    <row r="86" spans="1:17" s="26" customFormat="1" ht="108" customHeight="1">
      <c r="A86" s="45" t="s">
        <v>221</v>
      </c>
      <c r="B86" s="45" t="s">
        <v>68</v>
      </c>
      <c r="C86" s="45" t="s">
        <v>67</v>
      </c>
      <c r="D86" s="47" t="s">
        <v>69</v>
      </c>
      <c r="E86" s="48">
        <f>F86+I86</f>
        <v>3405194</v>
      </c>
      <c r="F86" s="48"/>
      <c r="G86" s="48"/>
      <c r="H86" s="48"/>
      <c r="I86" s="48">
        <f>3185452-53000+52300.8+220441.2</f>
        <v>3405194</v>
      </c>
      <c r="J86" s="48">
        <f t="shared" si="26"/>
        <v>53000</v>
      </c>
      <c r="K86" s="48">
        <f>53000</f>
        <v>53000</v>
      </c>
      <c r="L86" s="48"/>
      <c r="M86" s="48"/>
      <c r="N86" s="48"/>
      <c r="O86" s="48">
        <f>53000</f>
        <v>53000</v>
      </c>
      <c r="P86" s="48"/>
      <c r="Q86" s="44">
        <f t="shared" si="18"/>
        <v>3458194</v>
      </c>
    </row>
    <row r="87" spans="1:17" s="26" customFormat="1" ht="108" customHeight="1">
      <c r="A87" s="45" t="s">
        <v>448</v>
      </c>
      <c r="B87" s="45" t="s">
        <v>386</v>
      </c>
      <c r="C87" s="45" t="s">
        <v>388</v>
      </c>
      <c r="D87" s="47" t="s">
        <v>387</v>
      </c>
      <c r="E87" s="48">
        <f>F87+I87</f>
        <v>370000</v>
      </c>
      <c r="F87" s="48"/>
      <c r="G87" s="48"/>
      <c r="H87" s="48"/>
      <c r="I87" s="48">
        <f>370000</f>
        <v>370000</v>
      </c>
      <c r="J87" s="48">
        <f t="shared" si="26"/>
        <v>0</v>
      </c>
      <c r="K87" s="48"/>
      <c r="L87" s="48"/>
      <c r="M87" s="48"/>
      <c r="N87" s="48"/>
      <c r="O87" s="48"/>
      <c r="P87" s="48"/>
      <c r="Q87" s="44">
        <f t="shared" si="18"/>
        <v>370000</v>
      </c>
    </row>
    <row r="88" spans="1:17" s="26" customFormat="1" ht="108" customHeight="1">
      <c r="A88" s="45" t="s">
        <v>449</v>
      </c>
      <c r="B88" s="45" t="s">
        <v>285</v>
      </c>
      <c r="C88" s="45" t="s">
        <v>286</v>
      </c>
      <c r="D88" s="47" t="s">
        <v>287</v>
      </c>
      <c r="E88" s="48"/>
      <c r="F88" s="48"/>
      <c r="G88" s="48"/>
      <c r="H88" s="48"/>
      <c r="I88" s="48"/>
      <c r="J88" s="48">
        <f t="shared" si="26"/>
        <v>111000</v>
      </c>
      <c r="K88" s="48">
        <v>111000</v>
      </c>
      <c r="L88" s="48"/>
      <c r="M88" s="48"/>
      <c r="N88" s="48"/>
      <c r="O88" s="48">
        <v>111000</v>
      </c>
      <c r="P88" s="48"/>
      <c r="Q88" s="44">
        <f t="shared" si="18"/>
        <v>111000</v>
      </c>
    </row>
    <row r="89" spans="1:17" s="26" customFormat="1" ht="108" customHeight="1">
      <c r="A89" s="45" t="s">
        <v>466</v>
      </c>
      <c r="B89" s="45" t="s">
        <v>263</v>
      </c>
      <c r="C89" s="45" t="s">
        <v>223</v>
      </c>
      <c r="D89" s="50" t="s">
        <v>264</v>
      </c>
      <c r="E89" s="48"/>
      <c r="F89" s="48"/>
      <c r="G89" s="48"/>
      <c r="H89" s="48"/>
      <c r="I89" s="48"/>
      <c r="J89" s="48">
        <f t="shared" si="26"/>
        <v>90000</v>
      </c>
      <c r="K89" s="48"/>
      <c r="L89" s="48">
        <v>90000</v>
      </c>
      <c r="M89" s="48"/>
      <c r="N89" s="48"/>
      <c r="O89" s="48"/>
      <c r="P89" s="48"/>
      <c r="Q89" s="44">
        <f t="shared" si="18"/>
        <v>90000</v>
      </c>
    </row>
    <row r="90" spans="1:17" s="10" customFormat="1" ht="119.25" customHeight="1">
      <c r="A90" s="42" t="s">
        <v>28</v>
      </c>
      <c r="B90" s="42"/>
      <c r="C90" s="42"/>
      <c r="D90" s="43" t="s">
        <v>29</v>
      </c>
      <c r="E90" s="44">
        <f>E91</f>
        <v>30446519.800000001</v>
      </c>
      <c r="F90" s="44">
        <f t="shared" ref="F90:P90" si="27">F91</f>
        <v>30446519.800000001</v>
      </c>
      <c r="G90" s="44">
        <f t="shared" si="27"/>
        <v>14195530</v>
      </c>
      <c r="H90" s="44">
        <f t="shared" si="27"/>
        <v>1642829</v>
      </c>
      <c r="I90" s="44">
        <f t="shared" si="27"/>
        <v>0</v>
      </c>
      <c r="J90" s="44">
        <f t="shared" si="27"/>
        <v>4953500</v>
      </c>
      <c r="K90" s="44">
        <f t="shared" si="27"/>
        <v>4953500</v>
      </c>
      <c r="L90" s="44">
        <f t="shared" si="27"/>
        <v>0</v>
      </c>
      <c r="M90" s="44">
        <f t="shared" si="27"/>
        <v>0</v>
      </c>
      <c r="N90" s="44">
        <f t="shared" si="27"/>
        <v>0</v>
      </c>
      <c r="O90" s="44">
        <f t="shared" si="27"/>
        <v>4953500</v>
      </c>
      <c r="P90" s="44">
        <f t="shared" si="27"/>
        <v>0</v>
      </c>
      <c r="Q90" s="44">
        <f t="shared" si="18"/>
        <v>35400019.799999997</v>
      </c>
    </row>
    <row r="91" spans="1:17" s="28" customFormat="1" ht="127.5" customHeight="1">
      <c r="A91" s="42" t="s">
        <v>30</v>
      </c>
      <c r="B91" s="42"/>
      <c r="C91" s="42"/>
      <c r="D91" s="43" t="s">
        <v>29</v>
      </c>
      <c r="E91" s="44">
        <f>SUM(E92:E105)</f>
        <v>30446519.800000001</v>
      </c>
      <c r="F91" s="44">
        <f t="shared" ref="F91:Q91" si="28">SUM(F92:F105)</f>
        <v>30446519.800000001</v>
      </c>
      <c r="G91" s="44">
        <f t="shared" si="28"/>
        <v>14195530</v>
      </c>
      <c r="H91" s="44">
        <f t="shared" si="28"/>
        <v>1642829</v>
      </c>
      <c r="I91" s="44">
        <f t="shared" si="28"/>
        <v>0</v>
      </c>
      <c r="J91" s="44">
        <f t="shared" si="28"/>
        <v>4953500</v>
      </c>
      <c r="K91" s="44">
        <f t="shared" si="28"/>
        <v>4953500</v>
      </c>
      <c r="L91" s="44">
        <f t="shared" si="28"/>
        <v>0</v>
      </c>
      <c r="M91" s="44">
        <f t="shared" si="28"/>
        <v>0</v>
      </c>
      <c r="N91" s="44">
        <f t="shared" si="28"/>
        <v>0</v>
      </c>
      <c r="O91" s="44">
        <f t="shared" si="28"/>
        <v>4953500</v>
      </c>
      <c r="P91" s="44">
        <f t="shared" si="28"/>
        <v>0</v>
      </c>
      <c r="Q91" s="44">
        <f t="shared" si="28"/>
        <v>35400019.799999997</v>
      </c>
    </row>
    <row r="92" spans="1:17" s="25" customFormat="1" ht="158.25" customHeight="1">
      <c r="A92" s="45" t="s">
        <v>225</v>
      </c>
      <c r="B92" s="45" t="s">
        <v>226</v>
      </c>
      <c r="C92" s="45" t="s">
        <v>177</v>
      </c>
      <c r="D92" s="47" t="s">
        <v>227</v>
      </c>
      <c r="E92" s="48">
        <f t="shared" ref="E92:E104" si="29">F92+I92</f>
        <v>5379914</v>
      </c>
      <c r="F92" s="48">
        <v>5379914</v>
      </c>
      <c r="G92" s="48">
        <v>3882620</v>
      </c>
      <c r="H92" s="48">
        <v>93750</v>
      </c>
      <c r="I92" s="48"/>
      <c r="J92" s="48">
        <f>L92+O92</f>
        <v>145000</v>
      </c>
      <c r="K92" s="48">
        <v>145000</v>
      </c>
      <c r="L92" s="48"/>
      <c r="M92" s="48"/>
      <c r="N92" s="48"/>
      <c r="O92" s="48">
        <v>145000</v>
      </c>
      <c r="P92" s="48"/>
      <c r="Q92" s="44">
        <f t="shared" si="18"/>
        <v>5524914</v>
      </c>
    </row>
    <row r="93" spans="1:17" s="25" customFormat="1" ht="158.25" customHeight="1">
      <c r="A93" s="45" t="s">
        <v>453</v>
      </c>
      <c r="B93" s="45" t="s">
        <v>454</v>
      </c>
      <c r="C93" s="45" t="s">
        <v>177</v>
      </c>
      <c r="D93" s="47" t="s">
        <v>456</v>
      </c>
      <c r="E93" s="48">
        <f t="shared" si="29"/>
        <v>67800</v>
      </c>
      <c r="F93" s="48">
        <v>67800</v>
      </c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4">
        <f t="shared" si="18"/>
        <v>67800</v>
      </c>
    </row>
    <row r="94" spans="1:17" s="25" customFormat="1" ht="103.7" customHeight="1">
      <c r="A94" s="45" t="s">
        <v>228</v>
      </c>
      <c r="B94" s="45" t="s">
        <v>229</v>
      </c>
      <c r="C94" s="45" t="s">
        <v>177</v>
      </c>
      <c r="D94" s="47" t="s">
        <v>230</v>
      </c>
      <c r="E94" s="48">
        <f t="shared" si="29"/>
        <v>212520</v>
      </c>
      <c r="F94" s="48">
        <f>280320-67800</f>
        <v>212520</v>
      </c>
      <c r="G94" s="48"/>
      <c r="H94" s="48"/>
      <c r="I94" s="48"/>
      <c r="J94" s="48">
        <f t="shared" ref="J94:J96" si="30">L94+O94</f>
        <v>0</v>
      </c>
      <c r="K94" s="48"/>
      <c r="L94" s="48"/>
      <c r="M94" s="48"/>
      <c r="N94" s="48"/>
      <c r="O94" s="48"/>
      <c r="P94" s="48"/>
      <c r="Q94" s="44">
        <f t="shared" si="18"/>
        <v>212520</v>
      </c>
    </row>
    <row r="95" spans="1:17" s="25" customFormat="1" ht="174.75" customHeight="1">
      <c r="A95" s="45" t="s">
        <v>231</v>
      </c>
      <c r="B95" s="45" t="s">
        <v>232</v>
      </c>
      <c r="C95" s="45" t="s">
        <v>177</v>
      </c>
      <c r="D95" s="47" t="s">
        <v>233</v>
      </c>
      <c r="E95" s="48">
        <f t="shared" si="29"/>
        <v>897900</v>
      </c>
      <c r="F95" s="48">
        <f>1017900-120000</f>
        <v>897900</v>
      </c>
      <c r="G95" s="48"/>
      <c r="H95" s="48"/>
      <c r="I95" s="48"/>
      <c r="J95" s="48">
        <f t="shared" si="30"/>
        <v>0</v>
      </c>
      <c r="K95" s="48"/>
      <c r="L95" s="48"/>
      <c r="M95" s="48"/>
      <c r="N95" s="48"/>
      <c r="O95" s="48"/>
      <c r="P95" s="48"/>
      <c r="Q95" s="44">
        <f t="shared" si="18"/>
        <v>897900</v>
      </c>
    </row>
    <row r="96" spans="1:17" s="25" customFormat="1" ht="123.75" customHeight="1">
      <c r="A96" s="45" t="s">
        <v>234</v>
      </c>
      <c r="B96" s="45" t="s">
        <v>235</v>
      </c>
      <c r="C96" s="45" t="s">
        <v>177</v>
      </c>
      <c r="D96" s="47" t="s">
        <v>236</v>
      </c>
      <c r="E96" s="48">
        <f t="shared" si="29"/>
        <v>8317957</v>
      </c>
      <c r="F96" s="48">
        <v>8317957</v>
      </c>
      <c r="G96" s="48">
        <v>5582037</v>
      </c>
      <c r="H96" s="48">
        <v>1115810</v>
      </c>
      <c r="I96" s="48"/>
      <c r="J96" s="48">
        <f t="shared" si="30"/>
        <v>0</v>
      </c>
      <c r="K96" s="48"/>
      <c r="L96" s="48"/>
      <c r="M96" s="48"/>
      <c r="N96" s="48"/>
      <c r="O96" s="48"/>
      <c r="P96" s="48"/>
      <c r="Q96" s="44">
        <f t="shared" si="18"/>
        <v>8317957</v>
      </c>
    </row>
    <row r="97" spans="1:17" s="25" customFormat="1" ht="106.5" customHeight="1">
      <c r="A97" s="45" t="s">
        <v>237</v>
      </c>
      <c r="B97" s="45" t="s">
        <v>238</v>
      </c>
      <c r="C97" s="45" t="s">
        <v>177</v>
      </c>
      <c r="D97" s="47" t="s">
        <v>239</v>
      </c>
      <c r="E97" s="48">
        <f t="shared" si="29"/>
        <v>415500</v>
      </c>
      <c r="F97" s="48">
        <f>409500+3000+3000</f>
        <v>415500</v>
      </c>
      <c r="G97" s="48">
        <v>335600</v>
      </c>
      <c r="H97" s="48"/>
      <c r="I97" s="48"/>
      <c r="J97" s="48">
        <f>L97+O97</f>
        <v>0</v>
      </c>
      <c r="K97" s="48"/>
      <c r="L97" s="48"/>
      <c r="M97" s="48"/>
      <c r="N97" s="48"/>
      <c r="O97" s="48"/>
      <c r="P97" s="48"/>
      <c r="Q97" s="44">
        <f t="shared" si="18"/>
        <v>415500</v>
      </c>
    </row>
    <row r="98" spans="1:17" s="25" customFormat="1" ht="321" customHeight="1">
      <c r="A98" s="45" t="s">
        <v>240</v>
      </c>
      <c r="B98" s="45" t="s">
        <v>241</v>
      </c>
      <c r="C98" s="45" t="s">
        <v>177</v>
      </c>
      <c r="D98" s="47" t="s">
        <v>242</v>
      </c>
      <c r="E98" s="48">
        <f t="shared" si="29"/>
        <v>3164909.8</v>
      </c>
      <c r="F98" s="48">
        <v>3164909.8</v>
      </c>
      <c r="G98" s="48"/>
      <c r="H98" s="48"/>
      <c r="I98" s="48"/>
      <c r="J98" s="48">
        <f>+L98+O98</f>
        <v>0</v>
      </c>
      <c r="K98" s="48"/>
      <c r="L98" s="48"/>
      <c r="M98" s="48"/>
      <c r="N98" s="48"/>
      <c r="O98" s="48"/>
      <c r="P98" s="48"/>
      <c r="Q98" s="44">
        <f t="shared" si="18"/>
        <v>3164909.8</v>
      </c>
    </row>
    <row r="99" spans="1:17" s="25" customFormat="1" ht="173.25" customHeight="1">
      <c r="A99" s="45" t="s">
        <v>243</v>
      </c>
      <c r="B99" s="45" t="s">
        <v>244</v>
      </c>
      <c r="C99" s="45" t="s">
        <v>139</v>
      </c>
      <c r="D99" s="47" t="s">
        <v>245</v>
      </c>
      <c r="E99" s="48">
        <f t="shared" si="29"/>
        <v>1591500</v>
      </c>
      <c r="F99" s="48">
        <v>1591500</v>
      </c>
      <c r="G99" s="48"/>
      <c r="H99" s="48"/>
      <c r="I99" s="48"/>
      <c r="J99" s="48">
        <f t="shared" ref="J99:J100" si="31">+L99+O99</f>
        <v>0</v>
      </c>
      <c r="K99" s="48"/>
      <c r="L99" s="48"/>
      <c r="M99" s="48"/>
      <c r="N99" s="48"/>
      <c r="O99" s="48"/>
      <c r="P99" s="48"/>
      <c r="Q99" s="44">
        <f t="shared" si="18"/>
        <v>1591500</v>
      </c>
    </row>
    <row r="100" spans="1:17" s="25" customFormat="1" ht="156.75" customHeight="1">
      <c r="A100" s="45" t="s">
        <v>246</v>
      </c>
      <c r="B100" s="45" t="s">
        <v>247</v>
      </c>
      <c r="C100" s="45" t="s">
        <v>139</v>
      </c>
      <c r="D100" s="47" t="s">
        <v>248</v>
      </c>
      <c r="E100" s="48">
        <f t="shared" si="29"/>
        <v>1495000</v>
      </c>
      <c r="F100" s="48">
        <v>1495000</v>
      </c>
      <c r="G100" s="48"/>
      <c r="H100" s="48"/>
      <c r="I100" s="48"/>
      <c r="J100" s="48">
        <f t="shared" si="31"/>
        <v>0</v>
      </c>
      <c r="K100" s="48"/>
      <c r="L100" s="48"/>
      <c r="M100" s="48"/>
      <c r="N100" s="48"/>
      <c r="O100" s="48"/>
      <c r="P100" s="48"/>
      <c r="Q100" s="44">
        <f t="shared" si="18"/>
        <v>1495000</v>
      </c>
    </row>
    <row r="101" spans="1:17" s="25" customFormat="1" ht="203.25" customHeight="1">
      <c r="A101" s="45" t="s">
        <v>249</v>
      </c>
      <c r="B101" s="45" t="s">
        <v>250</v>
      </c>
      <c r="C101" s="45" t="s">
        <v>139</v>
      </c>
      <c r="D101" s="47" t="s">
        <v>251</v>
      </c>
      <c r="E101" s="48">
        <f t="shared" si="29"/>
        <v>84000</v>
      </c>
      <c r="F101" s="48">
        <f>92000-8000</f>
        <v>84000</v>
      </c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4">
        <f t="shared" si="18"/>
        <v>84000</v>
      </c>
    </row>
    <row r="102" spans="1:17" s="25" customFormat="1" ht="169.5" customHeight="1">
      <c r="A102" s="45" t="s">
        <v>252</v>
      </c>
      <c r="B102" s="45" t="s">
        <v>138</v>
      </c>
      <c r="C102" s="45" t="s">
        <v>139</v>
      </c>
      <c r="D102" s="47" t="s">
        <v>140</v>
      </c>
      <c r="E102" s="48">
        <f t="shared" si="29"/>
        <v>6301019</v>
      </c>
      <c r="F102" s="48">
        <f>2827519+800000+553500+2120000</f>
        <v>6301019</v>
      </c>
      <c r="G102" s="48">
        <f>1286275+643094+453600+2012304</f>
        <v>4395273</v>
      </c>
      <c r="H102" s="48">
        <f>768269-335000</f>
        <v>433269</v>
      </c>
      <c r="I102" s="48"/>
      <c r="J102" s="48"/>
      <c r="K102" s="48"/>
      <c r="L102" s="48"/>
      <c r="M102" s="48"/>
      <c r="N102" s="48"/>
      <c r="O102" s="48"/>
      <c r="P102" s="48"/>
      <c r="Q102" s="44">
        <f t="shared" si="18"/>
        <v>6301019</v>
      </c>
    </row>
    <row r="103" spans="1:17" s="25" customFormat="1" ht="237" customHeight="1">
      <c r="A103" s="45" t="s">
        <v>253</v>
      </c>
      <c r="B103" s="45" t="s">
        <v>254</v>
      </c>
      <c r="C103" s="45" t="s">
        <v>139</v>
      </c>
      <c r="D103" s="47" t="s">
        <v>255</v>
      </c>
      <c r="E103" s="48">
        <f t="shared" si="29"/>
        <v>1218500</v>
      </c>
      <c r="F103" s="48">
        <f>1278500-60000</f>
        <v>1218500</v>
      </c>
      <c r="G103" s="48"/>
      <c r="H103" s="48"/>
      <c r="I103" s="48"/>
      <c r="J103" s="48">
        <f>L103+O103</f>
        <v>0</v>
      </c>
      <c r="K103" s="48"/>
      <c r="L103" s="48"/>
      <c r="M103" s="48"/>
      <c r="N103" s="48"/>
      <c r="O103" s="48"/>
      <c r="P103" s="48"/>
      <c r="Q103" s="44">
        <f t="shared" si="18"/>
        <v>1218500</v>
      </c>
    </row>
    <row r="104" spans="1:17" s="25" customFormat="1" ht="237" customHeight="1">
      <c r="A104" s="45" t="s">
        <v>401</v>
      </c>
      <c r="B104" s="45" t="s">
        <v>402</v>
      </c>
      <c r="C104" s="45" t="s">
        <v>139</v>
      </c>
      <c r="D104" s="47" t="s">
        <v>403</v>
      </c>
      <c r="E104" s="48">
        <f t="shared" si="29"/>
        <v>1300000</v>
      </c>
      <c r="F104" s="48">
        <v>1300000</v>
      </c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4">
        <f t="shared" si="18"/>
        <v>1300000</v>
      </c>
    </row>
    <row r="105" spans="1:17" s="25" customFormat="1" ht="108" customHeight="1">
      <c r="A105" s="45" t="s">
        <v>344</v>
      </c>
      <c r="B105" s="45" t="s">
        <v>341</v>
      </c>
      <c r="C105" s="45" t="s">
        <v>76</v>
      </c>
      <c r="D105" s="47" t="s">
        <v>342</v>
      </c>
      <c r="E105" s="48"/>
      <c r="F105" s="48"/>
      <c r="G105" s="48"/>
      <c r="H105" s="48"/>
      <c r="I105" s="48"/>
      <c r="J105" s="48">
        <f>+L105+O105</f>
        <v>4808500</v>
      </c>
      <c r="K105" s="48">
        <v>4808500</v>
      </c>
      <c r="L105" s="48"/>
      <c r="M105" s="48"/>
      <c r="N105" s="48"/>
      <c r="O105" s="48">
        <v>4808500</v>
      </c>
      <c r="P105" s="48"/>
      <c r="Q105" s="44">
        <f t="shared" si="18"/>
        <v>4808500</v>
      </c>
    </row>
    <row r="106" spans="1:17" s="10" customFormat="1" ht="134.25" customHeight="1">
      <c r="A106" s="42" t="s">
        <v>31</v>
      </c>
      <c r="B106" s="42"/>
      <c r="C106" s="42"/>
      <c r="D106" s="43" t="s">
        <v>32</v>
      </c>
      <c r="E106" s="44">
        <f>E107</f>
        <v>26763521.350000001</v>
      </c>
      <c r="F106" s="44">
        <f t="shared" ref="F106:P106" si="32">F107</f>
        <v>24658752</v>
      </c>
      <c r="G106" s="44">
        <f t="shared" si="32"/>
        <v>4666408</v>
      </c>
      <c r="H106" s="44">
        <f t="shared" si="32"/>
        <v>12490</v>
      </c>
      <c r="I106" s="44">
        <f t="shared" si="32"/>
        <v>2104769.35</v>
      </c>
      <c r="J106" s="44">
        <f t="shared" si="32"/>
        <v>19064313.030000001</v>
      </c>
      <c r="K106" s="44">
        <f t="shared" si="32"/>
        <v>18164313.030000001</v>
      </c>
      <c r="L106" s="44">
        <f t="shared" si="32"/>
        <v>900000</v>
      </c>
      <c r="M106" s="44">
        <f t="shared" si="32"/>
        <v>0</v>
      </c>
      <c r="N106" s="44">
        <f t="shared" si="32"/>
        <v>0</v>
      </c>
      <c r="O106" s="44">
        <f t="shared" si="32"/>
        <v>18164313.030000001</v>
      </c>
      <c r="P106" s="44">
        <f t="shared" si="32"/>
        <v>0</v>
      </c>
      <c r="Q106" s="44">
        <f t="shared" si="18"/>
        <v>45827834.380000003</v>
      </c>
    </row>
    <row r="107" spans="1:17" s="10" customFormat="1" ht="142.5" customHeight="1">
      <c r="A107" s="42" t="s">
        <v>33</v>
      </c>
      <c r="B107" s="42"/>
      <c r="C107" s="42"/>
      <c r="D107" s="43" t="s">
        <v>32</v>
      </c>
      <c r="E107" s="44">
        <f t="shared" ref="E107:P107" si="33">SUM(E108:E118)</f>
        <v>26763521.350000001</v>
      </c>
      <c r="F107" s="44">
        <f t="shared" si="33"/>
        <v>24658752</v>
      </c>
      <c r="G107" s="44">
        <f t="shared" si="33"/>
        <v>4666408</v>
      </c>
      <c r="H107" s="44">
        <f t="shared" si="33"/>
        <v>12490</v>
      </c>
      <c r="I107" s="44">
        <f t="shared" si="33"/>
        <v>2104769.35</v>
      </c>
      <c r="J107" s="44">
        <f t="shared" si="33"/>
        <v>19064313.030000001</v>
      </c>
      <c r="K107" s="44">
        <f>SUM(K108:K118)</f>
        <v>18164313.030000001</v>
      </c>
      <c r="L107" s="44">
        <f>SUM(L108:L118)</f>
        <v>900000</v>
      </c>
      <c r="M107" s="44">
        <f t="shared" si="33"/>
        <v>0</v>
      </c>
      <c r="N107" s="44">
        <f t="shared" si="33"/>
        <v>0</v>
      </c>
      <c r="O107" s="44">
        <f>SUM(O108:O118)</f>
        <v>18164313.030000001</v>
      </c>
      <c r="P107" s="44">
        <f t="shared" si="33"/>
        <v>0</v>
      </c>
      <c r="Q107" s="44">
        <f t="shared" si="18"/>
        <v>45827834.380000003</v>
      </c>
    </row>
    <row r="108" spans="1:17" s="26" customFormat="1" ht="228" customHeight="1">
      <c r="A108" s="45" t="s">
        <v>256</v>
      </c>
      <c r="B108" s="45" t="s">
        <v>113</v>
      </c>
      <c r="C108" s="45" t="s">
        <v>53</v>
      </c>
      <c r="D108" s="47" t="s">
        <v>304</v>
      </c>
      <c r="E108" s="48">
        <f t="shared" ref="E108:E118" si="34">F108+I108</f>
        <v>5317214</v>
      </c>
      <c r="F108" s="48">
        <f>5360988-43774</f>
        <v>5317214</v>
      </c>
      <c r="G108" s="48">
        <f>4205568-35880</f>
        <v>4169688</v>
      </c>
      <c r="H108" s="48"/>
      <c r="I108" s="48"/>
      <c r="J108" s="48">
        <f t="shared" ref="J108:J118" si="35">L108+O108</f>
        <v>0</v>
      </c>
      <c r="K108" s="48"/>
      <c r="L108" s="48"/>
      <c r="M108" s="48"/>
      <c r="N108" s="48"/>
      <c r="O108" s="48"/>
      <c r="P108" s="48"/>
      <c r="Q108" s="44">
        <f t="shared" si="18"/>
        <v>5317214</v>
      </c>
    </row>
    <row r="109" spans="1:17" s="26" customFormat="1" ht="228" customHeight="1">
      <c r="A109" s="45" t="s">
        <v>396</v>
      </c>
      <c r="B109" s="45" t="s">
        <v>394</v>
      </c>
      <c r="C109" s="45" t="s">
        <v>72</v>
      </c>
      <c r="D109" s="47" t="s">
        <v>395</v>
      </c>
      <c r="E109" s="48">
        <f t="shared" si="34"/>
        <v>1272620.3500000001</v>
      </c>
      <c r="F109" s="48"/>
      <c r="G109" s="48"/>
      <c r="H109" s="48"/>
      <c r="I109" s="48">
        <f>1180985.35+35635+56000</f>
        <v>1272620.3500000001</v>
      </c>
      <c r="J109" s="48">
        <f t="shared" si="35"/>
        <v>0</v>
      </c>
      <c r="K109" s="48"/>
      <c r="L109" s="48"/>
      <c r="M109" s="48"/>
      <c r="N109" s="48"/>
      <c r="O109" s="48"/>
      <c r="P109" s="48"/>
      <c r="Q109" s="44">
        <f t="shared" si="18"/>
        <v>1272620.3500000001</v>
      </c>
    </row>
    <row r="110" spans="1:17" s="26" customFormat="1" ht="114.75" customHeight="1">
      <c r="A110" s="45" t="s">
        <v>368</v>
      </c>
      <c r="B110" s="45" t="s">
        <v>367</v>
      </c>
      <c r="C110" s="45" t="s">
        <v>67</v>
      </c>
      <c r="D110" s="47" t="s">
        <v>369</v>
      </c>
      <c r="E110" s="48">
        <f t="shared" si="34"/>
        <v>500000</v>
      </c>
      <c r="F110" s="48"/>
      <c r="G110" s="48"/>
      <c r="H110" s="48"/>
      <c r="I110" s="48">
        <v>500000</v>
      </c>
      <c r="J110" s="48">
        <f t="shared" si="35"/>
        <v>0</v>
      </c>
      <c r="K110" s="48"/>
      <c r="L110" s="48"/>
      <c r="M110" s="48"/>
      <c r="N110" s="48"/>
      <c r="O110" s="48"/>
      <c r="P110" s="48"/>
      <c r="Q110" s="44">
        <f t="shared" si="18"/>
        <v>500000</v>
      </c>
    </row>
    <row r="111" spans="1:17" s="26" customFormat="1" ht="114.75" customHeight="1">
      <c r="A111" s="45" t="s">
        <v>458</v>
      </c>
      <c r="B111" s="45" t="s">
        <v>460</v>
      </c>
      <c r="C111" s="45" t="s">
        <v>67</v>
      </c>
      <c r="D111" s="57" t="s">
        <v>459</v>
      </c>
      <c r="E111" s="48">
        <f t="shared" si="34"/>
        <v>11000</v>
      </c>
      <c r="F111" s="48"/>
      <c r="G111" s="48"/>
      <c r="H111" s="48"/>
      <c r="I111" s="48">
        <v>11000</v>
      </c>
      <c r="J111" s="48"/>
      <c r="K111" s="48"/>
      <c r="L111" s="48"/>
      <c r="M111" s="48"/>
      <c r="N111" s="48"/>
      <c r="O111" s="48"/>
      <c r="P111" s="48"/>
      <c r="Q111" s="44">
        <f t="shared" si="18"/>
        <v>11000</v>
      </c>
    </row>
    <row r="112" spans="1:17" s="26" customFormat="1" ht="186" customHeight="1">
      <c r="A112" s="45" t="s">
        <v>257</v>
      </c>
      <c r="B112" s="45" t="s">
        <v>66</v>
      </c>
      <c r="C112" s="45" t="s">
        <v>67</v>
      </c>
      <c r="D112" s="47" t="s">
        <v>258</v>
      </c>
      <c r="E112" s="48">
        <f>F112+I112</f>
        <v>16130649</v>
      </c>
      <c r="F112" s="48">
        <f>15410000+435500</f>
        <v>15845500</v>
      </c>
      <c r="G112" s="48"/>
      <c r="H112" s="48"/>
      <c r="I112" s="48">
        <f>149975+4000+131174</f>
        <v>285149</v>
      </c>
      <c r="J112" s="48">
        <f t="shared" si="35"/>
        <v>995097</v>
      </c>
      <c r="K112" s="48">
        <f>937670+57427</f>
        <v>995097</v>
      </c>
      <c r="L112" s="48"/>
      <c r="M112" s="48"/>
      <c r="N112" s="48"/>
      <c r="O112" s="48">
        <f>937670+57427</f>
        <v>995097</v>
      </c>
      <c r="P112" s="48"/>
      <c r="Q112" s="44">
        <f t="shared" si="18"/>
        <v>17125746</v>
      </c>
    </row>
    <row r="113" spans="1:17" s="26" customFormat="1" ht="116.25" customHeight="1">
      <c r="A113" s="45" t="s">
        <v>259</v>
      </c>
      <c r="B113" s="45" t="s">
        <v>68</v>
      </c>
      <c r="C113" s="45" t="s">
        <v>67</v>
      </c>
      <c r="D113" s="47" t="s">
        <v>69</v>
      </c>
      <c r="E113" s="48">
        <f t="shared" si="34"/>
        <v>1158000</v>
      </c>
      <c r="F113" s="48">
        <v>1150000</v>
      </c>
      <c r="G113" s="48"/>
      <c r="H113" s="48"/>
      <c r="I113" s="48">
        <v>8000</v>
      </c>
      <c r="J113" s="48">
        <f t="shared" si="35"/>
        <v>0</v>
      </c>
      <c r="K113" s="48"/>
      <c r="L113" s="48"/>
      <c r="M113" s="48"/>
      <c r="N113" s="48"/>
      <c r="O113" s="48"/>
      <c r="P113" s="48"/>
      <c r="Q113" s="44">
        <f t="shared" si="18"/>
        <v>1158000</v>
      </c>
    </row>
    <row r="114" spans="1:17" s="26" customFormat="1" ht="120" customHeight="1">
      <c r="A114" s="45" t="s">
        <v>260</v>
      </c>
      <c r="B114" s="45" t="s">
        <v>163</v>
      </c>
      <c r="C114" s="45" t="s">
        <v>164</v>
      </c>
      <c r="D114" s="47" t="s">
        <v>165</v>
      </c>
      <c r="E114" s="48">
        <f t="shared" si="34"/>
        <v>1363138</v>
      </c>
      <c r="F114" s="48">
        <v>1335138</v>
      </c>
      <c r="G114" s="48">
        <v>496720</v>
      </c>
      <c r="H114" s="48">
        <v>12490</v>
      </c>
      <c r="I114" s="48">
        <v>28000</v>
      </c>
      <c r="J114" s="48">
        <f t="shared" si="35"/>
        <v>0</v>
      </c>
      <c r="K114" s="48"/>
      <c r="L114" s="48"/>
      <c r="M114" s="48"/>
      <c r="N114" s="48"/>
      <c r="O114" s="48"/>
      <c r="P114" s="48"/>
      <c r="Q114" s="44">
        <f t="shared" si="18"/>
        <v>1363138</v>
      </c>
    </row>
    <row r="115" spans="1:17" s="26" customFormat="1" ht="120" customHeight="1">
      <c r="A115" s="45" t="s">
        <v>404</v>
      </c>
      <c r="B115" s="45" t="s">
        <v>405</v>
      </c>
      <c r="C115" s="45" t="s">
        <v>343</v>
      </c>
      <c r="D115" s="47" t="s">
        <v>407</v>
      </c>
      <c r="E115" s="48">
        <f t="shared" si="34"/>
        <v>0</v>
      </c>
      <c r="F115" s="48"/>
      <c r="G115" s="48"/>
      <c r="H115" s="48"/>
      <c r="I115" s="48"/>
      <c r="J115" s="48">
        <f t="shared" si="35"/>
        <v>17169216.030000001</v>
      </c>
      <c r="K115" s="48">
        <v>17169216.030000001</v>
      </c>
      <c r="L115" s="48"/>
      <c r="M115" s="48"/>
      <c r="N115" s="48"/>
      <c r="O115" s="48">
        <v>17169216.030000001</v>
      </c>
      <c r="P115" s="48"/>
      <c r="Q115" s="44">
        <f t="shared" si="18"/>
        <v>17169216.030000001</v>
      </c>
    </row>
    <row r="116" spans="1:17" s="26" customFormat="1" ht="120" customHeight="1">
      <c r="A116" s="45" t="s">
        <v>446</v>
      </c>
      <c r="B116" s="45" t="s">
        <v>102</v>
      </c>
      <c r="C116" s="45" t="s">
        <v>103</v>
      </c>
      <c r="D116" s="47" t="s">
        <v>104</v>
      </c>
      <c r="E116" s="48">
        <f t="shared" si="34"/>
        <v>200900</v>
      </c>
      <c r="F116" s="48">
        <v>200900</v>
      </c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4">
        <f t="shared" si="18"/>
        <v>200900</v>
      </c>
    </row>
    <row r="117" spans="1:17" s="26" customFormat="1" ht="138.75" customHeight="1">
      <c r="A117" s="45" t="s">
        <v>261</v>
      </c>
      <c r="B117" s="45" t="s">
        <v>222</v>
      </c>
      <c r="C117" s="45" t="s">
        <v>223</v>
      </c>
      <c r="D117" s="47" t="s">
        <v>224</v>
      </c>
      <c r="E117" s="48">
        <f t="shared" si="34"/>
        <v>810000</v>
      </c>
      <c r="F117" s="48">
        <v>810000</v>
      </c>
      <c r="G117" s="48"/>
      <c r="H117" s="48"/>
      <c r="I117" s="48"/>
      <c r="J117" s="48">
        <f t="shared" si="35"/>
        <v>0</v>
      </c>
      <c r="K117" s="48"/>
      <c r="L117" s="48"/>
      <c r="M117" s="48"/>
      <c r="N117" s="48"/>
      <c r="O117" s="48"/>
      <c r="P117" s="48"/>
      <c r="Q117" s="44">
        <f t="shared" si="18"/>
        <v>810000</v>
      </c>
    </row>
    <row r="118" spans="1:17" s="26" customFormat="1" ht="125.25" customHeight="1">
      <c r="A118" s="45" t="s">
        <v>262</v>
      </c>
      <c r="B118" s="45" t="s">
        <v>263</v>
      </c>
      <c r="C118" s="45" t="s">
        <v>223</v>
      </c>
      <c r="D118" s="47" t="s">
        <v>264</v>
      </c>
      <c r="E118" s="48">
        <f t="shared" si="34"/>
        <v>0</v>
      </c>
      <c r="F118" s="48"/>
      <c r="G118" s="48"/>
      <c r="H118" s="48"/>
      <c r="I118" s="48"/>
      <c r="J118" s="48">
        <f t="shared" si="35"/>
        <v>900000</v>
      </c>
      <c r="K118" s="48"/>
      <c r="L118" s="48">
        <v>900000</v>
      </c>
      <c r="M118" s="48"/>
      <c r="N118" s="48"/>
      <c r="O118" s="48"/>
      <c r="P118" s="48"/>
      <c r="Q118" s="44">
        <f t="shared" si="18"/>
        <v>900000</v>
      </c>
    </row>
    <row r="119" spans="1:17" s="10" customFormat="1" ht="140.25" customHeight="1">
      <c r="A119" s="42" t="s">
        <v>34</v>
      </c>
      <c r="B119" s="42"/>
      <c r="C119" s="42"/>
      <c r="D119" s="43" t="s">
        <v>35</v>
      </c>
      <c r="E119" s="44">
        <f>E120</f>
        <v>223632370.09</v>
      </c>
      <c r="F119" s="44">
        <f t="shared" ref="F119:P119" si="36">F120</f>
        <v>16888072.09</v>
      </c>
      <c r="G119" s="44">
        <f t="shared" si="36"/>
        <v>4513403</v>
      </c>
      <c r="H119" s="44">
        <f t="shared" si="36"/>
        <v>8388681.0899999999</v>
      </c>
      <c r="I119" s="44">
        <f t="shared" si="36"/>
        <v>206744298</v>
      </c>
      <c r="J119" s="44">
        <f t="shared" si="36"/>
        <v>41738205.109999999</v>
      </c>
      <c r="K119" s="44">
        <f t="shared" si="36"/>
        <v>41040205.109999999</v>
      </c>
      <c r="L119" s="44">
        <f t="shared" si="36"/>
        <v>198000</v>
      </c>
      <c r="M119" s="44">
        <f t="shared" si="36"/>
        <v>0</v>
      </c>
      <c r="N119" s="44">
        <f t="shared" si="36"/>
        <v>0</v>
      </c>
      <c r="O119" s="44">
        <f t="shared" si="36"/>
        <v>41540205.109999999</v>
      </c>
      <c r="P119" s="44">
        <f t="shared" si="36"/>
        <v>0</v>
      </c>
      <c r="Q119" s="44">
        <f t="shared" si="18"/>
        <v>265370575.19999999</v>
      </c>
    </row>
    <row r="120" spans="1:17" s="10" customFormat="1" ht="137.25" customHeight="1">
      <c r="A120" s="42" t="s">
        <v>36</v>
      </c>
      <c r="B120" s="42"/>
      <c r="C120" s="42"/>
      <c r="D120" s="43" t="s">
        <v>35</v>
      </c>
      <c r="E120" s="44">
        <f>SUM(E121:E133)</f>
        <v>223632370.09</v>
      </c>
      <c r="F120" s="44">
        <f t="shared" ref="F120:Q120" si="37">SUM(F121:F133)</f>
        <v>16888072.09</v>
      </c>
      <c r="G120" s="44">
        <f t="shared" si="37"/>
        <v>4513403</v>
      </c>
      <c r="H120" s="44">
        <f t="shared" si="37"/>
        <v>8388681.0899999999</v>
      </c>
      <c r="I120" s="44">
        <f t="shared" si="37"/>
        <v>206744298</v>
      </c>
      <c r="J120" s="44">
        <f t="shared" si="37"/>
        <v>41738205.109999999</v>
      </c>
      <c r="K120" s="44">
        <f t="shared" si="37"/>
        <v>41040205.109999999</v>
      </c>
      <c r="L120" s="44">
        <f t="shared" si="37"/>
        <v>198000</v>
      </c>
      <c r="M120" s="44">
        <f t="shared" si="37"/>
        <v>0</v>
      </c>
      <c r="N120" s="44">
        <f t="shared" si="37"/>
        <v>0</v>
      </c>
      <c r="O120" s="44">
        <f t="shared" si="37"/>
        <v>41540205.109999999</v>
      </c>
      <c r="P120" s="44">
        <f t="shared" si="37"/>
        <v>0</v>
      </c>
      <c r="Q120" s="44">
        <f t="shared" si="37"/>
        <v>265370575.20000002</v>
      </c>
    </row>
    <row r="121" spans="1:17" s="26" customFormat="1" ht="236.25" customHeight="1">
      <c r="A121" s="45" t="s">
        <v>265</v>
      </c>
      <c r="B121" s="45" t="s">
        <v>113</v>
      </c>
      <c r="C121" s="45" t="s">
        <v>53</v>
      </c>
      <c r="D121" s="47" t="s">
        <v>304</v>
      </c>
      <c r="E121" s="48">
        <f t="shared" ref="E121:E133" si="38">F121+I121</f>
        <v>5086500</v>
      </c>
      <c r="F121" s="48">
        <f>5132364-45864</f>
        <v>5086500</v>
      </c>
      <c r="G121" s="48">
        <f>4050667-37593</f>
        <v>4013074</v>
      </c>
      <c r="H121" s="48"/>
      <c r="I121" s="48"/>
      <c r="J121" s="48">
        <f>L121+O121</f>
        <v>0</v>
      </c>
      <c r="K121" s="48"/>
      <c r="L121" s="48"/>
      <c r="M121" s="48"/>
      <c r="N121" s="48"/>
      <c r="O121" s="48"/>
      <c r="P121" s="48"/>
      <c r="Q121" s="44">
        <f t="shared" si="18"/>
        <v>5086500</v>
      </c>
    </row>
    <row r="122" spans="1:17" s="26" customFormat="1" ht="189.95" customHeight="1">
      <c r="A122" s="45" t="s">
        <v>266</v>
      </c>
      <c r="B122" s="45" t="s">
        <v>267</v>
      </c>
      <c r="C122" s="45" t="s">
        <v>67</v>
      </c>
      <c r="D122" s="47" t="s">
        <v>268</v>
      </c>
      <c r="E122" s="48">
        <f t="shared" si="38"/>
        <v>114840842</v>
      </c>
      <c r="F122" s="48"/>
      <c r="G122" s="48"/>
      <c r="H122" s="48"/>
      <c r="I122" s="48">
        <v>114840842</v>
      </c>
      <c r="J122" s="48">
        <f>+L122+O122</f>
        <v>10948.919999999925</v>
      </c>
      <c r="K122" s="48">
        <f>10948.92+3000000-3000000</f>
        <v>10948.919999999925</v>
      </c>
      <c r="L122" s="48"/>
      <c r="M122" s="48"/>
      <c r="N122" s="48"/>
      <c r="O122" s="48">
        <f>10948.92+3000000-3000000</f>
        <v>10948.919999999925</v>
      </c>
      <c r="P122" s="48"/>
      <c r="Q122" s="44">
        <f t="shared" si="18"/>
        <v>114851790.92</v>
      </c>
    </row>
    <row r="123" spans="1:17" s="26" customFormat="1" ht="189.95" customHeight="1">
      <c r="A123" s="45" t="s">
        <v>269</v>
      </c>
      <c r="B123" s="45" t="s">
        <v>270</v>
      </c>
      <c r="C123" s="45" t="s">
        <v>67</v>
      </c>
      <c r="D123" s="47" t="s">
        <v>271</v>
      </c>
      <c r="E123" s="48">
        <f t="shared" si="38"/>
        <v>22167400</v>
      </c>
      <c r="F123" s="48"/>
      <c r="G123" s="48"/>
      <c r="H123" s="48"/>
      <c r="I123" s="48">
        <v>22167400</v>
      </c>
      <c r="J123" s="48">
        <f>+L123+O123</f>
        <v>0</v>
      </c>
      <c r="K123" s="48">
        <f>3000000-3000000</f>
        <v>0</v>
      </c>
      <c r="L123" s="48"/>
      <c r="M123" s="48"/>
      <c r="N123" s="48"/>
      <c r="O123" s="48">
        <f>3000000-3000000</f>
        <v>0</v>
      </c>
      <c r="P123" s="48"/>
      <c r="Q123" s="44">
        <f t="shared" ref="Q123:Q198" si="39">+E123+J123</f>
        <v>22167400</v>
      </c>
    </row>
    <row r="124" spans="1:17" s="26" customFormat="1" ht="117.95" customHeight="1">
      <c r="A124" s="45" t="s">
        <v>272</v>
      </c>
      <c r="B124" s="45" t="s">
        <v>68</v>
      </c>
      <c r="C124" s="45" t="s">
        <v>67</v>
      </c>
      <c r="D124" s="47" t="s">
        <v>69</v>
      </c>
      <c r="E124" s="48">
        <f t="shared" si="38"/>
        <v>74805601.090000004</v>
      </c>
      <c r="F124" s="48">
        <v>8377665.0899999999</v>
      </c>
      <c r="G124" s="48"/>
      <c r="H124" s="48">
        <v>8377665.0899999999</v>
      </c>
      <c r="I124" s="48">
        <f>67396736-1277320+130000+178520</f>
        <v>66427936</v>
      </c>
      <c r="J124" s="48">
        <f>+L124+O124</f>
        <v>0</v>
      </c>
      <c r="K124" s="48"/>
      <c r="L124" s="48"/>
      <c r="M124" s="48"/>
      <c r="N124" s="48"/>
      <c r="O124" s="48"/>
      <c r="P124" s="48"/>
      <c r="Q124" s="44">
        <f t="shared" si="39"/>
        <v>74805601.090000004</v>
      </c>
    </row>
    <row r="125" spans="1:17" s="26" customFormat="1" ht="161.25" customHeight="1">
      <c r="A125" s="45" t="s">
        <v>273</v>
      </c>
      <c r="B125" s="45" t="s">
        <v>163</v>
      </c>
      <c r="C125" s="45" t="s">
        <v>164</v>
      </c>
      <c r="D125" s="47" t="s">
        <v>165</v>
      </c>
      <c r="E125" s="48">
        <f t="shared" si="38"/>
        <v>3882048</v>
      </c>
      <c r="F125" s="48">
        <f>631318+52210</f>
        <v>683528</v>
      </c>
      <c r="G125" s="48">
        <v>500329</v>
      </c>
      <c r="H125" s="48">
        <v>11016</v>
      </c>
      <c r="I125" s="48">
        <f>3106520+92000</f>
        <v>3198520</v>
      </c>
      <c r="J125" s="48">
        <f t="shared" ref="J125:J128" si="40">+L125+O125</f>
        <v>0</v>
      </c>
      <c r="K125" s="48"/>
      <c r="L125" s="48"/>
      <c r="M125" s="48"/>
      <c r="N125" s="48"/>
      <c r="O125" s="48"/>
      <c r="P125" s="48"/>
      <c r="Q125" s="44">
        <f t="shared" si="39"/>
        <v>3882048</v>
      </c>
    </row>
    <row r="126" spans="1:17" s="26" customFormat="1" ht="161.25" customHeight="1">
      <c r="A126" s="45" t="s">
        <v>461</v>
      </c>
      <c r="B126" s="45" t="s">
        <v>386</v>
      </c>
      <c r="C126" s="45" t="s">
        <v>388</v>
      </c>
      <c r="D126" s="47" t="s">
        <v>387</v>
      </c>
      <c r="E126" s="48">
        <f t="shared" si="38"/>
        <v>109600</v>
      </c>
      <c r="F126" s="48"/>
      <c r="G126" s="48"/>
      <c r="H126" s="48"/>
      <c r="I126" s="48">
        <v>109600</v>
      </c>
      <c r="J126" s="48"/>
      <c r="K126" s="48"/>
      <c r="L126" s="48"/>
      <c r="M126" s="48"/>
      <c r="N126" s="48"/>
      <c r="O126" s="48"/>
      <c r="P126" s="48"/>
      <c r="Q126" s="44">
        <f t="shared" si="39"/>
        <v>109600</v>
      </c>
    </row>
    <row r="127" spans="1:17" s="26" customFormat="1" ht="161.25" customHeight="1">
      <c r="A127" s="45" t="s">
        <v>408</v>
      </c>
      <c r="B127" s="45" t="s">
        <v>405</v>
      </c>
      <c r="C127" s="45" t="s">
        <v>343</v>
      </c>
      <c r="D127" s="47" t="s">
        <v>409</v>
      </c>
      <c r="E127" s="48">
        <f t="shared" si="38"/>
        <v>0</v>
      </c>
      <c r="F127" s="48"/>
      <c r="G127" s="48"/>
      <c r="H127" s="48"/>
      <c r="I127" s="48"/>
      <c r="J127" s="48">
        <f t="shared" si="40"/>
        <v>3632328.06</v>
      </c>
      <c r="K127" s="48">
        <f>2066718.06+800000+190000+165000+410610</f>
        <v>3632328.06</v>
      </c>
      <c r="L127" s="48"/>
      <c r="M127" s="48"/>
      <c r="N127" s="48"/>
      <c r="O127" s="48">
        <f>2066718.06+800000+190000+165000+410610</f>
        <v>3632328.06</v>
      </c>
      <c r="P127" s="48"/>
      <c r="Q127" s="44">
        <f t="shared" si="39"/>
        <v>3632328.06</v>
      </c>
    </row>
    <row r="128" spans="1:17" s="26" customFormat="1" ht="161.25" customHeight="1">
      <c r="A128" s="45" t="s">
        <v>381</v>
      </c>
      <c r="B128" s="45" t="s">
        <v>341</v>
      </c>
      <c r="C128" s="45" t="s">
        <v>76</v>
      </c>
      <c r="D128" s="47" t="s">
        <v>410</v>
      </c>
      <c r="E128" s="48">
        <f t="shared" si="38"/>
        <v>0</v>
      </c>
      <c r="F128" s="48"/>
      <c r="G128" s="48"/>
      <c r="H128" s="48"/>
      <c r="I128" s="48"/>
      <c r="J128" s="48">
        <f t="shared" si="40"/>
        <v>37396928.130000003</v>
      </c>
      <c r="K128" s="48">
        <v>37396928.130000003</v>
      </c>
      <c r="L128" s="48"/>
      <c r="M128" s="48"/>
      <c r="N128" s="48"/>
      <c r="O128" s="48">
        <v>37396928.130000003</v>
      </c>
      <c r="P128" s="48"/>
      <c r="Q128" s="44">
        <f t="shared" si="39"/>
        <v>37396928.130000003</v>
      </c>
    </row>
    <row r="129" spans="1:17" s="26" customFormat="1" ht="161.25" customHeight="1">
      <c r="A129" s="45" t="s">
        <v>435</v>
      </c>
      <c r="B129" s="45" t="s">
        <v>102</v>
      </c>
      <c r="C129" s="45" t="s">
        <v>103</v>
      </c>
      <c r="D129" s="47" t="s">
        <v>104</v>
      </c>
      <c r="E129" s="48">
        <f t="shared" si="38"/>
        <v>199975</v>
      </c>
      <c r="F129" s="48">
        <v>199975</v>
      </c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4">
        <f t="shared" si="39"/>
        <v>199975</v>
      </c>
    </row>
    <row r="130" spans="1:17" s="26" customFormat="1" ht="129" customHeight="1">
      <c r="A130" s="45" t="s">
        <v>280</v>
      </c>
      <c r="B130" s="45" t="s">
        <v>281</v>
      </c>
      <c r="C130" s="45" t="s">
        <v>282</v>
      </c>
      <c r="D130" s="47" t="s">
        <v>283</v>
      </c>
      <c r="E130" s="48">
        <f t="shared" si="38"/>
        <v>888000</v>
      </c>
      <c r="F130" s="48">
        <v>888000</v>
      </c>
      <c r="G130" s="48"/>
      <c r="H130" s="48"/>
      <c r="I130" s="48"/>
      <c r="J130" s="48">
        <f t="shared" ref="J130" si="41">+L130+O130</f>
        <v>0</v>
      </c>
      <c r="K130" s="48"/>
      <c r="L130" s="48"/>
      <c r="M130" s="48"/>
      <c r="N130" s="48"/>
      <c r="O130" s="48"/>
      <c r="P130" s="48"/>
      <c r="Q130" s="44">
        <f t="shared" si="39"/>
        <v>888000</v>
      </c>
    </row>
    <row r="131" spans="1:17" s="26" customFormat="1" ht="111.75" customHeight="1">
      <c r="A131" s="45" t="s">
        <v>284</v>
      </c>
      <c r="B131" s="45" t="s">
        <v>285</v>
      </c>
      <c r="C131" s="45" t="s">
        <v>286</v>
      </c>
      <c r="D131" s="47" t="s">
        <v>287</v>
      </c>
      <c r="E131" s="48">
        <f t="shared" si="38"/>
        <v>69000</v>
      </c>
      <c r="F131" s="48">
        <v>69000</v>
      </c>
      <c r="G131" s="48"/>
      <c r="H131" s="48"/>
      <c r="I131" s="48"/>
      <c r="J131" s="48">
        <f>L131+O131</f>
        <v>0</v>
      </c>
      <c r="K131" s="48"/>
      <c r="L131" s="48"/>
      <c r="M131" s="48"/>
      <c r="N131" s="48"/>
      <c r="O131" s="48"/>
      <c r="P131" s="48"/>
      <c r="Q131" s="44">
        <f t="shared" si="39"/>
        <v>69000</v>
      </c>
    </row>
    <row r="132" spans="1:17" s="26" customFormat="1" ht="169.5" customHeight="1">
      <c r="A132" s="45" t="s">
        <v>288</v>
      </c>
      <c r="B132" s="45" t="s">
        <v>222</v>
      </c>
      <c r="C132" s="45" t="s">
        <v>223</v>
      </c>
      <c r="D132" s="47" t="s">
        <v>224</v>
      </c>
      <c r="E132" s="48">
        <f t="shared" si="38"/>
        <v>1583404</v>
      </c>
      <c r="F132" s="48">
        <f>1616004-32600</f>
        <v>1583404</v>
      </c>
      <c r="G132" s="48"/>
      <c r="H132" s="48"/>
      <c r="I132" s="48"/>
      <c r="J132" s="48">
        <f>L132+O132</f>
        <v>0</v>
      </c>
      <c r="K132" s="48"/>
      <c r="L132" s="48"/>
      <c r="M132" s="48"/>
      <c r="N132" s="48"/>
      <c r="O132" s="48"/>
      <c r="P132" s="48"/>
      <c r="Q132" s="44">
        <f t="shared" si="39"/>
        <v>1583404</v>
      </c>
    </row>
    <row r="133" spans="1:17" s="26" customFormat="1" ht="169.5" customHeight="1">
      <c r="A133" s="45" t="s">
        <v>373</v>
      </c>
      <c r="B133" s="45" t="s">
        <v>263</v>
      </c>
      <c r="C133" s="45" t="s">
        <v>223</v>
      </c>
      <c r="D133" s="47" t="s">
        <v>264</v>
      </c>
      <c r="E133" s="48">
        <f t="shared" si="38"/>
        <v>0</v>
      </c>
      <c r="F133" s="48"/>
      <c r="G133" s="48"/>
      <c r="H133" s="48"/>
      <c r="I133" s="48"/>
      <c r="J133" s="48">
        <f>L133+O133</f>
        <v>698000</v>
      </c>
      <c r="K133" s="48"/>
      <c r="L133" s="48">
        <v>198000</v>
      </c>
      <c r="M133" s="48"/>
      <c r="N133" s="48"/>
      <c r="O133" s="48">
        <f>698000-198000</f>
        <v>500000</v>
      </c>
      <c r="P133" s="48"/>
      <c r="Q133" s="44">
        <f t="shared" si="39"/>
        <v>698000</v>
      </c>
    </row>
    <row r="134" spans="1:17" s="10" customFormat="1" ht="112.5">
      <c r="A134" s="58">
        <v>1500000</v>
      </c>
      <c r="B134" s="58"/>
      <c r="C134" s="58"/>
      <c r="D134" s="43" t="s">
        <v>37</v>
      </c>
      <c r="E134" s="44">
        <f>E135</f>
        <v>6360769</v>
      </c>
      <c r="F134" s="44">
        <f t="shared" ref="F134:P134" si="42">F135</f>
        <v>6360769</v>
      </c>
      <c r="G134" s="44">
        <f t="shared" si="42"/>
        <v>3513202</v>
      </c>
      <c r="H134" s="44">
        <f t="shared" si="42"/>
        <v>781</v>
      </c>
      <c r="I134" s="44">
        <f t="shared" si="42"/>
        <v>0</v>
      </c>
      <c r="J134" s="44">
        <f>+J135</f>
        <v>195658861.40000001</v>
      </c>
      <c r="K134" s="44">
        <f>+K135</f>
        <v>167303915.56999999</v>
      </c>
      <c r="L134" s="44">
        <f t="shared" si="42"/>
        <v>0</v>
      </c>
      <c r="M134" s="44">
        <f t="shared" si="42"/>
        <v>0</v>
      </c>
      <c r="N134" s="44">
        <f t="shared" si="42"/>
        <v>0</v>
      </c>
      <c r="O134" s="44">
        <f>+O135</f>
        <v>195658861.40000001</v>
      </c>
      <c r="P134" s="44">
        <f t="shared" si="42"/>
        <v>0</v>
      </c>
      <c r="Q134" s="44">
        <f t="shared" si="39"/>
        <v>202019630.40000001</v>
      </c>
    </row>
    <row r="135" spans="1:17" s="10" customFormat="1" ht="139.69999999999999" customHeight="1">
      <c r="A135" s="42" t="s">
        <v>38</v>
      </c>
      <c r="B135" s="42"/>
      <c r="C135" s="42"/>
      <c r="D135" s="43" t="s">
        <v>37</v>
      </c>
      <c r="E135" s="44">
        <f>SUM(E136:E151)</f>
        <v>6360769</v>
      </c>
      <c r="F135" s="44">
        <f t="shared" ref="F135:Q135" si="43">SUM(F136:F151)</f>
        <v>6360769</v>
      </c>
      <c r="G135" s="44">
        <f t="shared" si="43"/>
        <v>3513202</v>
      </c>
      <c r="H135" s="44">
        <f t="shared" si="43"/>
        <v>781</v>
      </c>
      <c r="I135" s="44">
        <f t="shared" si="43"/>
        <v>0</v>
      </c>
      <c r="J135" s="44">
        <f>SUM(J136:J151)</f>
        <v>195658861.40000001</v>
      </c>
      <c r="K135" s="44">
        <f>SUM(K136:K151)</f>
        <v>167303915.56999999</v>
      </c>
      <c r="L135" s="44">
        <f t="shared" si="43"/>
        <v>0</v>
      </c>
      <c r="M135" s="44">
        <f t="shared" si="43"/>
        <v>0</v>
      </c>
      <c r="N135" s="44">
        <f t="shared" si="43"/>
        <v>0</v>
      </c>
      <c r="O135" s="44">
        <f t="shared" si="43"/>
        <v>195658861.40000001</v>
      </c>
      <c r="P135" s="44">
        <f t="shared" si="43"/>
        <v>0</v>
      </c>
      <c r="Q135" s="44">
        <f t="shared" si="43"/>
        <v>202019630.40000001</v>
      </c>
    </row>
    <row r="136" spans="1:17" s="10" customFormat="1" ht="207" customHeight="1">
      <c r="A136" s="45" t="s">
        <v>340</v>
      </c>
      <c r="B136" s="45" t="s">
        <v>113</v>
      </c>
      <c r="C136" s="45" t="s">
        <v>53</v>
      </c>
      <c r="D136" s="47" t="s">
        <v>304</v>
      </c>
      <c r="E136" s="48">
        <f>F136+I136</f>
        <v>4754655</v>
      </c>
      <c r="F136" s="48">
        <f>4794833-40178</f>
        <v>4754655</v>
      </c>
      <c r="G136" s="48">
        <f>3546135-32933</f>
        <v>3513202</v>
      </c>
      <c r="H136" s="48">
        <v>781</v>
      </c>
      <c r="I136" s="48"/>
      <c r="J136" s="48">
        <f t="shared" ref="J136:J151" si="44">+L136+O136</f>
        <v>0</v>
      </c>
      <c r="K136" s="48"/>
      <c r="L136" s="48"/>
      <c r="M136" s="48"/>
      <c r="N136" s="48"/>
      <c r="O136" s="48"/>
      <c r="P136" s="48"/>
      <c r="Q136" s="44">
        <f t="shared" si="39"/>
        <v>4754655</v>
      </c>
    </row>
    <row r="137" spans="1:17" s="10" customFormat="1" ht="207" customHeight="1">
      <c r="A137" s="45" t="s">
        <v>467</v>
      </c>
      <c r="B137" s="45" t="s">
        <v>115</v>
      </c>
      <c r="C137" s="45" t="s">
        <v>116</v>
      </c>
      <c r="D137" s="47" t="s">
        <v>117</v>
      </c>
      <c r="E137" s="48">
        <f>F137+I137</f>
        <v>900000</v>
      </c>
      <c r="F137" s="48">
        <v>900000</v>
      </c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4">
        <f t="shared" si="39"/>
        <v>900000</v>
      </c>
    </row>
    <row r="138" spans="1:17" s="10" customFormat="1" ht="222" customHeight="1">
      <c r="A138" s="45" t="s">
        <v>431</v>
      </c>
      <c r="B138" s="45" t="s">
        <v>119</v>
      </c>
      <c r="C138" s="45" t="s">
        <v>120</v>
      </c>
      <c r="D138" s="49" t="s">
        <v>397</v>
      </c>
      <c r="E138" s="48">
        <f>F138+I138</f>
        <v>706114</v>
      </c>
      <c r="F138" s="48">
        <v>706114</v>
      </c>
      <c r="G138" s="48"/>
      <c r="H138" s="48"/>
      <c r="I138" s="48"/>
      <c r="J138" s="48">
        <f t="shared" si="44"/>
        <v>0</v>
      </c>
      <c r="K138" s="48"/>
      <c r="L138" s="48"/>
      <c r="M138" s="48"/>
      <c r="N138" s="48"/>
      <c r="O138" s="48"/>
      <c r="P138" s="48"/>
      <c r="Q138" s="44">
        <f t="shared" si="39"/>
        <v>706114</v>
      </c>
    </row>
    <row r="139" spans="1:17" s="10" customFormat="1" ht="222" customHeight="1">
      <c r="A139" s="45" t="s">
        <v>468</v>
      </c>
      <c r="B139" s="45" t="s">
        <v>469</v>
      </c>
      <c r="C139" s="45" t="s">
        <v>130</v>
      </c>
      <c r="D139" s="49" t="s">
        <v>470</v>
      </c>
      <c r="E139" s="48"/>
      <c r="F139" s="48"/>
      <c r="G139" s="48"/>
      <c r="H139" s="48"/>
      <c r="I139" s="48"/>
      <c r="J139" s="48">
        <f t="shared" si="44"/>
        <v>3904881</v>
      </c>
      <c r="K139" s="48">
        <v>3904881</v>
      </c>
      <c r="L139" s="48"/>
      <c r="M139" s="48"/>
      <c r="N139" s="48"/>
      <c r="O139" s="48">
        <v>3904881</v>
      </c>
      <c r="P139" s="48"/>
      <c r="Q139" s="44">
        <f t="shared" si="39"/>
        <v>3904881</v>
      </c>
    </row>
    <row r="140" spans="1:17" s="10" customFormat="1" ht="138.75" customHeight="1">
      <c r="A140" s="45" t="s">
        <v>414</v>
      </c>
      <c r="B140" s="45" t="s">
        <v>405</v>
      </c>
      <c r="C140" s="45" t="s">
        <v>343</v>
      </c>
      <c r="D140" s="59" t="s">
        <v>415</v>
      </c>
      <c r="E140" s="48"/>
      <c r="F140" s="48"/>
      <c r="G140" s="48"/>
      <c r="H140" s="48"/>
      <c r="I140" s="48"/>
      <c r="J140" s="48">
        <f t="shared" si="44"/>
        <v>27579769.32</v>
      </c>
      <c r="K140" s="48">
        <v>27579769.32</v>
      </c>
      <c r="L140" s="48"/>
      <c r="M140" s="48"/>
      <c r="N140" s="48"/>
      <c r="O140" s="48">
        <v>27579769.32</v>
      </c>
      <c r="P140" s="48"/>
      <c r="Q140" s="44">
        <f t="shared" si="39"/>
        <v>27579769.32</v>
      </c>
    </row>
    <row r="141" spans="1:17" s="10" customFormat="1" ht="138.75" customHeight="1">
      <c r="A141" s="45" t="s">
        <v>416</v>
      </c>
      <c r="B141" s="45" t="s">
        <v>417</v>
      </c>
      <c r="C141" s="45" t="s">
        <v>343</v>
      </c>
      <c r="D141" s="50" t="s">
        <v>418</v>
      </c>
      <c r="E141" s="48"/>
      <c r="F141" s="48"/>
      <c r="G141" s="48"/>
      <c r="H141" s="48"/>
      <c r="I141" s="48"/>
      <c r="J141" s="48">
        <f t="shared" si="44"/>
        <v>14985292.380000001</v>
      </c>
      <c r="K141" s="48">
        <v>14985292.380000001</v>
      </c>
      <c r="L141" s="48"/>
      <c r="M141" s="48"/>
      <c r="N141" s="48"/>
      <c r="O141" s="48">
        <v>14985292.380000001</v>
      </c>
      <c r="P141" s="48"/>
      <c r="Q141" s="44">
        <f t="shared" si="39"/>
        <v>14985292.380000001</v>
      </c>
    </row>
    <row r="142" spans="1:17" s="10" customFormat="1" ht="207" customHeight="1">
      <c r="A142" s="45" t="s">
        <v>389</v>
      </c>
      <c r="B142" s="45" t="s">
        <v>390</v>
      </c>
      <c r="C142" s="45" t="s">
        <v>343</v>
      </c>
      <c r="D142" s="47" t="s">
        <v>392</v>
      </c>
      <c r="E142" s="48"/>
      <c r="F142" s="48"/>
      <c r="G142" s="48"/>
      <c r="H142" s="48"/>
      <c r="I142" s="48"/>
      <c r="J142" s="48">
        <f t="shared" si="44"/>
        <v>158236.84</v>
      </c>
      <c r="K142" s="48">
        <f>138236.84+20000</f>
        <v>158236.84</v>
      </c>
      <c r="L142" s="48"/>
      <c r="M142" s="48"/>
      <c r="N142" s="48"/>
      <c r="O142" s="48">
        <f>138236.84+20000</f>
        <v>158236.84</v>
      </c>
      <c r="P142" s="48"/>
      <c r="Q142" s="44">
        <f t="shared" si="39"/>
        <v>158236.84</v>
      </c>
    </row>
    <row r="143" spans="1:17" s="10" customFormat="1" ht="164.25" customHeight="1">
      <c r="A143" s="45" t="s">
        <v>462</v>
      </c>
      <c r="B143" s="45" t="s">
        <v>463</v>
      </c>
      <c r="C143" s="45" t="s">
        <v>343</v>
      </c>
      <c r="D143" s="47" t="s">
        <v>464</v>
      </c>
      <c r="E143" s="48"/>
      <c r="F143" s="48"/>
      <c r="G143" s="48"/>
      <c r="H143" s="48"/>
      <c r="I143" s="48"/>
      <c r="J143" s="48">
        <f t="shared" si="44"/>
        <v>49900</v>
      </c>
      <c r="K143" s="48">
        <v>49900</v>
      </c>
      <c r="L143" s="48"/>
      <c r="M143" s="48"/>
      <c r="N143" s="48"/>
      <c r="O143" s="48">
        <v>49900</v>
      </c>
      <c r="P143" s="48"/>
      <c r="Q143" s="44">
        <f t="shared" si="39"/>
        <v>49900</v>
      </c>
    </row>
    <row r="144" spans="1:17" s="10" customFormat="1" ht="108" customHeight="1">
      <c r="A144" s="45" t="s">
        <v>345</v>
      </c>
      <c r="B144" s="45" t="s">
        <v>346</v>
      </c>
      <c r="C144" s="45" t="s">
        <v>343</v>
      </c>
      <c r="D144" s="47" t="s">
        <v>359</v>
      </c>
      <c r="E144" s="48">
        <f t="shared" ref="E144:E148" si="45">F144+I144</f>
        <v>0</v>
      </c>
      <c r="F144" s="44"/>
      <c r="G144" s="44"/>
      <c r="H144" s="44"/>
      <c r="I144" s="44"/>
      <c r="J144" s="48">
        <f t="shared" si="44"/>
        <v>10800493.300000001</v>
      </c>
      <c r="K144" s="48">
        <f>9441096.07-290602.77+1650000</f>
        <v>10800493.300000001</v>
      </c>
      <c r="L144" s="44"/>
      <c r="M144" s="44"/>
      <c r="N144" s="44"/>
      <c r="O144" s="48">
        <f>9441096.07-290602.77+1650000</f>
        <v>10800493.300000001</v>
      </c>
      <c r="P144" s="44"/>
      <c r="Q144" s="44">
        <f t="shared" si="39"/>
        <v>10800493.300000001</v>
      </c>
    </row>
    <row r="145" spans="1:17" s="10" customFormat="1" ht="108" customHeight="1">
      <c r="A145" s="45" t="s">
        <v>420</v>
      </c>
      <c r="B145" s="45" t="s">
        <v>421</v>
      </c>
      <c r="C145" s="45" t="s">
        <v>343</v>
      </c>
      <c r="D145" s="47" t="s">
        <v>419</v>
      </c>
      <c r="E145" s="48"/>
      <c r="F145" s="44"/>
      <c r="G145" s="44"/>
      <c r="H145" s="44"/>
      <c r="I145" s="44"/>
      <c r="J145" s="48">
        <f t="shared" si="44"/>
        <v>3499627.47</v>
      </c>
      <c r="K145" s="48">
        <v>2214481.64</v>
      </c>
      <c r="L145" s="44"/>
      <c r="M145" s="44"/>
      <c r="N145" s="44"/>
      <c r="O145" s="48">
        <v>3499627.47</v>
      </c>
      <c r="P145" s="44"/>
      <c r="Q145" s="44">
        <f t="shared" si="39"/>
        <v>3499627.47</v>
      </c>
    </row>
    <row r="146" spans="1:17" s="10" customFormat="1" ht="186">
      <c r="A146" s="45" t="s">
        <v>428</v>
      </c>
      <c r="B146" s="45" t="s">
        <v>429</v>
      </c>
      <c r="C146" s="45" t="s">
        <v>76</v>
      </c>
      <c r="D146" s="47" t="s">
        <v>430</v>
      </c>
      <c r="E146" s="48"/>
      <c r="F146" s="44"/>
      <c r="G146" s="44"/>
      <c r="H146" s="44"/>
      <c r="I146" s="44"/>
      <c r="J146" s="48">
        <f t="shared" si="44"/>
        <v>6944860.4900000002</v>
      </c>
      <c r="K146" s="48">
        <f>6000000+1386890+26284.28+838423+80153.21-1386890</f>
        <v>6944860.4900000002</v>
      </c>
      <c r="L146" s="44"/>
      <c r="M146" s="44"/>
      <c r="N146" s="44"/>
      <c r="O146" s="48">
        <f>6000000+1386890+26284.28+838423+80153.21-1386890</f>
        <v>6944860.4900000002</v>
      </c>
      <c r="P146" s="44"/>
      <c r="Q146" s="44">
        <f t="shared" si="39"/>
        <v>6944860.4900000002</v>
      </c>
    </row>
    <row r="147" spans="1:17" s="10" customFormat="1" ht="130.5" customHeight="1">
      <c r="A147" s="45" t="s">
        <v>425</v>
      </c>
      <c r="B147" s="45" t="s">
        <v>426</v>
      </c>
      <c r="C147" s="45" t="s">
        <v>76</v>
      </c>
      <c r="D147" s="47" t="s">
        <v>427</v>
      </c>
      <c r="E147" s="48"/>
      <c r="F147" s="44"/>
      <c r="G147" s="44"/>
      <c r="H147" s="44"/>
      <c r="I147" s="44"/>
      <c r="J147" s="48">
        <f t="shared" si="44"/>
        <v>34370897.060000002</v>
      </c>
      <c r="K147" s="48">
        <f>34080294.29+290602.77</f>
        <v>34370897.060000002</v>
      </c>
      <c r="L147" s="44"/>
      <c r="M147" s="44"/>
      <c r="N147" s="44"/>
      <c r="O147" s="48">
        <f>34080294.29+290602.77</f>
        <v>34370897.060000002</v>
      </c>
      <c r="P147" s="44"/>
      <c r="Q147" s="44">
        <f t="shared" si="39"/>
        <v>34370897.060000002</v>
      </c>
    </row>
    <row r="148" spans="1:17" s="10" customFormat="1" ht="210" customHeight="1">
      <c r="A148" s="45" t="s">
        <v>366</v>
      </c>
      <c r="B148" s="45" t="s">
        <v>274</v>
      </c>
      <c r="C148" s="45" t="s">
        <v>82</v>
      </c>
      <c r="D148" s="47" t="s">
        <v>275</v>
      </c>
      <c r="E148" s="48">
        <f t="shared" si="45"/>
        <v>0</v>
      </c>
      <c r="F148" s="44"/>
      <c r="G148" s="44"/>
      <c r="H148" s="44"/>
      <c r="I148" s="44"/>
      <c r="J148" s="48">
        <f t="shared" si="44"/>
        <v>42998723.670000002</v>
      </c>
      <c r="K148" s="48">
        <f>28319047.36-10146120.69+393000+27069797-2637000</f>
        <v>42998723.670000002</v>
      </c>
      <c r="L148" s="44"/>
      <c r="M148" s="44"/>
      <c r="N148" s="44"/>
      <c r="O148" s="48">
        <f>28319047.36-10146120.69+393000+27069797-2637000</f>
        <v>42998723.670000002</v>
      </c>
      <c r="P148" s="44"/>
      <c r="Q148" s="44">
        <f t="shared" si="39"/>
        <v>42998723.670000002</v>
      </c>
    </row>
    <row r="149" spans="1:17" s="10" customFormat="1" ht="210" customHeight="1">
      <c r="A149" s="45" t="s">
        <v>436</v>
      </c>
      <c r="B149" s="45" t="s">
        <v>437</v>
      </c>
      <c r="C149" s="45" t="s">
        <v>82</v>
      </c>
      <c r="D149" s="47" t="s">
        <v>438</v>
      </c>
      <c r="E149" s="48"/>
      <c r="F149" s="44"/>
      <c r="G149" s="44"/>
      <c r="H149" s="44"/>
      <c r="I149" s="44"/>
      <c r="J149" s="48">
        <f t="shared" si="44"/>
        <v>27069800</v>
      </c>
      <c r="K149" s="48"/>
      <c r="L149" s="44"/>
      <c r="M149" s="44"/>
      <c r="N149" s="44"/>
      <c r="O149" s="48">
        <v>27069800</v>
      </c>
      <c r="P149" s="44"/>
      <c r="Q149" s="44">
        <f t="shared" si="39"/>
        <v>27069800</v>
      </c>
    </row>
    <row r="150" spans="1:17" s="10" customFormat="1" ht="175.7" customHeight="1">
      <c r="A150" s="45" t="s">
        <v>391</v>
      </c>
      <c r="B150" s="45" t="s">
        <v>93</v>
      </c>
      <c r="C150" s="60" t="s">
        <v>94</v>
      </c>
      <c r="D150" s="61" t="s">
        <v>393</v>
      </c>
      <c r="E150" s="48"/>
      <c r="F150" s="44"/>
      <c r="G150" s="44"/>
      <c r="H150" s="44"/>
      <c r="I150" s="44"/>
      <c r="J150" s="48">
        <f t="shared" si="44"/>
        <v>296379.87</v>
      </c>
      <c r="K150" s="48">
        <v>296379.87</v>
      </c>
      <c r="L150" s="44"/>
      <c r="M150" s="44"/>
      <c r="N150" s="44"/>
      <c r="O150" s="48">
        <v>296379.87</v>
      </c>
      <c r="P150" s="44"/>
      <c r="Q150" s="44">
        <f t="shared" si="39"/>
        <v>296379.87</v>
      </c>
    </row>
    <row r="151" spans="1:17" s="10" customFormat="1" ht="309" customHeight="1">
      <c r="A151" s="45" t="s">
        <v>432</v>
      </c>
      <c r="B151" s="45" t="s">
        <v>434</v>
      </c>
      <c r="C151" s="60" t="s">
        <v>60</v>
      </c>
      <c r="D151" s="61" t="s">
        <v>433</v>
      </c>
      <c r="E151" s="48"/>
      <c r="F151" s="44"/>
      <c r="G151" s="44"/>
      <c r="H151" s="44"/>
      <c r="I151" s="44"/>
      <c r="J151" s="48">
        <f t="shared" si="44"/>
        <v>23000000</v>
      </c>
      <c r="K151" s="48">
        <f>50069797-27069797</f>
        <v>23000000</v>
      </c>
      <c r="L151" s="44"/>
      <c r="M151" s="44"/>
      <c r="N151" s="44"/>
      <c r="O151" s="48">
        <f>50069797-27069797</f>
        <v>23000000</v>
      </c>
      <c r="P151" s="44"/>
      <c r="Q151" s="44">
        <f t="shared" si="39"/>
        <v>23000000</v>
      </c>
    </row>
    <row r="152" spans="1:17" s="10" customFormat="1" ht="135" customHeight="1">
      <c r="A152" s="42" t="s">
        <v>39</v>
      </c>
      <c r="B152" s="42"/>
      <c r="C152" s="42"/>
      <c r="D152" s="43" t="s">
        <v>40</v>
      </c>
      <c r="E152" s="44">
        <f>E153</f>
        <v>12375663</v>
      </c>
      <c r="F152" s="44">
        <f t="shared" ref="F152:P152" si="46">F153</f>
        <v>11976663</v>
      </c>
      <c r="G152" s="44">
        <f t="shared" si="46"/>
        <v>8634892</v>
      </c>
      <c r="H152" s="44">
        <f t="shared" si="46"/>
        <v>203784</v>
      </c>
      <c r="I152" s="44">
        <f t="shared" si="46"/>
        <v>399000</v>
      </c>
      <c r="J152" s="44">
        <f t="shared" si="46"/>
        <v>628000</v>
      </c>
      <c r="K152" s="44">
        <f t="shared" si="46"/>
        <v>128000</v>
      </c>
      <c r="L152" s="44">
        <f t="shared" si="46"/>
        <v>0</v>
      </c>
      <c r="M152" s="44">
        <f t="shared" si="46"/>
        <v>0</v>
      </c>
      <c r="N152" s="44">
        <f t="shared" si="46"/>
        <v>0</v>
      </c>
      <c r="O152" s="44">
        <f t="shared" si="46"/>
        <v>628000</v>
      </c>
      <c r="P152" s="44">
        <f t="shared" si="46"/>
        <v>0</v>
      </c>
      <c r="Q152" s="44">
        <f t="shared" si="39"/>
        <v>13003663</v>
      </c>
    </row>
    <row r="153" spans="1:17" s="10" customFormat="1" ht="145.5" customHeight="1">
      <c r="A153" s="42" t="s">
        <v>41</v>
      </c>
      <c r="B153" s="42"/>
      <c r="C153" s="42"/>
      <c r="D153" s="43" t="s">
        <v>40</v>
      </c>
      <c r="E153" s="44">
        <f>SUM(E154:E160)</f>
        <v>12375663</v>
      </c>
      <c r="F153" s="44">
        <f t="shared" ref="F153:P153" si="47">SUM(F154:F160)</f>
        <v>11976663</v>
      </c>
      <c r="G153" s="44">
        <f t="shared" si="47"/>
        <v>8634892</v>
      </c>
      <c r="H153" s="44">
        <f t="shared" si="47"/>
        <v>203784</v>
      </c>
      <c r="I153" s="44">
        <f t="shared" si="47"/>
        <v>399000</v>
      </c>
      <c r="J153" s="44">
        <f t="shared" si="47"/>
        <v>628000</v>
      </c>
      <c r="K153" s="44">
        <f t="shared" si="47"/>
        <v>128000</v>
      </c>
      <c r="L153" s="44">
        <f t="shared" si="47"/>
        <v>0</v>
      </c>
      <c r="M153" s="44">
        <f t="shared" si="47"/>
        <v>0</v>
      </c>
      <c r="N153" s="44">
        <f t="shared" si="47"/>
        <v>0</v>
      </c>
      <c r="O153" s="44">
        <f t="shared" si="47"/>
        <v>628000</v>
      </c>
      <c r="P153" s="44">
        <f t="shared" si="47"/>
        <v>0</v>
      </c>
      <c r="Q153" s="44">
        <f t="shared" si="39"/>
        <v>13003663</v>
      </c>
    </row>
    <row r="154" spans="1:17" s="26" customFormat="1" ht="267.75" customHeight="1">
      <c r="A154" s="45" t="s">
        <v>289</v>
      </c>
      <c r="B154" s="45" t="s">
        <v>113</v>
      </c>
      <c r="C154" s="45" t="s">
        <v>53</v>
      </c>
      <c r="D154" s="47" t="s">
        <v>304</v>
      </c>
      <c r="E154" s="48">
        <f>F154+I154</f>
        <v>11036663</v>
      </c>
      <c r="F154" s="48">
        <f>11136515-99852</f>
        <v>11036663</v>
      </c>
      <c r="G154" s="48">
        <f>8716738-81846</f>
        <v>8634892</v>
      </c>
      <c r="H154" s="48">
        <v>203784</v>
      </c>
      <c r="I154" s="48"/>
      <c r="J154" s="48">
        <f>L154+O154</f>
        <v>0</v>
      </c>
      <c r="K154" s="48"/>
      <c r="L154" s="48"/>
      <c r="M154" s="48"/>
      <c r="N154" s="48"/>
      <c r="O154" s="48"/>
      <c r="P154" s="48"/>
      <c r="Q154" s="44">
        <f t="shared" si="39"/>
        <v>11036663</v>
      </c>
    </row>
    <row r="155" spans="1:17" s="26" customFormat="1" ht="111.75" customHeight="1">
      <c r="A155" s="45" t="s">
        <v>305</v>
      </c>
      <c r="B155" s="45" t="s">
        <v>219</v>
      </c>
      <c r="C155" s="45" t="s">
        <v>216</v>
      </c>
      <c r="D155" s="47" t="s">
        <v>220</v>
      </c>
      <c r="E155" s="48">
        <f>F155+I155</f>
        <v>50000</v>
      </c>
      <c r="F155" s="48">
        <v>50000</v>
      </c>
      <c r="G155" s="48"/>
      <c r="H155" s="48"/>
      <c r="I155" s="48"/>
      <c r="J155" s="48">
        <f t="shared" ref="J155" si="48">L155+O155</f>
        <v>0</v>
      </c>
      <c r="K155" s="48">
        <f>50000-50000</f>
        <v>0</v>
      </c>
      <c r="L155" s="48"/>
      <c r="M155" s="48"/>
      <c r="N155" s="48"/>
      <c r="O155" s="48"/>
      <c r="P155" s="48"/>
      <c r="Q155" s="44">
        <f t="shared" si="39"/>
        <v>50000</v>
      </c>
    </row>
    <row r="156" spans="1:17" s="26" customFormat="1" ht="111.75" customHeight="1">
      <c r="A156" s="45" t="s">
        <v>385</v>
      </c>
      <c r="B156" s="45" t="s">
        <v>386</v>
      </c>
      <c r="C156" s="45" t="s">
        <v>388</v>
      </c>
      <c r="D156" s="47" t="s">
        <v>387</v>
      </c>
      <c r="E156" s="48">
        <f>F156+I156</f>
        <v>399000</v>
      </c>
      <c r="F156" s="48"/>
      <c r="G156" s="48"/>
      <c r="H156" s="48"/>
      <c r="I156" s="48">
        <f>299000+100000</f>
        <v>399000</v>
      </c>
      <c r="J156" s="48">
        <f>L156+O156</f>
        <v>500000</v>
      </c>
      <c r="K156" s="48"/>
      <c r="L156" s="48"/>
      <c r="M156" s="48"/>
      <c r="N156" s="48"/>
      <c r="O156" s="48">
        <f>500000</f>
        <v>500000</v>
      </c>
      <c r="P156" s="48"/>
      <c r="Q156" s="44">
        <f t="shared" si="39"/>
        <v>899000</v>
      </c>
    </row>
    <row r="157" spans="1:17" s="26" customFormat="1" ht="111.75" customHeight="1">
      <c r="A157" s="45" t="s">
        <v>455</v>
      </c>
      <c r="B157" s="45" t="s">
        <v>421</v>
      </c>
      <c r="C157" s="45" t="s">
        <v>343</v>
      </c>
      <c r="D157" s="47" t="s">
        <v>457</v>
      </c>
      <c r="E157" s="48">
        <f>F157+I157</f>
        <v>0</v>
      </c>
      <c r="F157" s="48"/>
      <c r="G157" s="48"/>
      <c r="H157" s="48"/>
      <c r="I157" s="48"/>
      <c r="J157" s="48">
        <f>L157+O157</f>
        <v>100000</v>
      </c>
      <c r="K157" s="48">
        <v>100000</v>
      </c>
      <c r="L157" s="48"/>
      <c r="M157" s="48"/>
      <c r="N157" s="48"/>
      <c r="O157" s="48">
        <v>100000</v>
      </c>
      <c r="P157" s="48"/>
      <c r="Q157" s="44">
        <f t="shared" si="39"/>
        <v>100000</v>
      </c>
    </row>
    <row r="158" spans="1:17" s="26" customFormat="1" ht="111.75" customHeight="1">
      <c r="A158" s="45" t="s">
        <v>450</v>
      </c>
      <c r="B158" s="45" t="s">
        <v>451</v>
      </c>
      <c r="C158" s="45" t="s">
        <v>343</v>
      </c>
      <c r="D158" s="47" t="s">
        <v>452</v>
      </c>
      <c r="E158" s="48">
        <f>F158+I158</f>
        <v>50000</v>
      </c>
      <c r="F158" s="48">
        <v>50000</v>
      </c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4">
        <f t="shared" si="39"/>
        <v>50000</v>
      </c>
    </row>
    <row r="159" spans="1:17" s="26" customFormat="1" ht="255.75" customHeight="1">
      <c r="A159" s="45" t="s">
        <v>411</v>
      </c>
      <c r="B159" s="45" t="s">
        <v>412</v>
      </c>
      <c r="C159" s="45" t="s">
        <v>76</v>
      </c>
      <c r="D159" s="47" t="s">
        <v>413</v>
      </c>
      <c r="E159" s="48"/>
      <c r="F159" s="48"/>
      <c r="G159" s="48"/>
      <c r="H159" s="48"/>
      <c r="I159" s="48"/>
      <c r="J159" s="48">
        <f>L159+O159</f>
        <v>28000</v>
      </c>
      <c r="K159" s="48">
        <v>28000</v>
      </c>
      <c r="L159" s="48"/>
      <c r="M159" s="48"/>
      <c r="N159" s="48"/>
      <c r="O159" s="48">
        <v>28000</v>
      </c>
      <c r="P159" s="48"/>
      <c r="Q159" s="44">
        <f>+E159+J159</f>
        <v>28000</v>
      </c>
    </row>
    <row r="160" spans="1:17" s="26" customFormat="1" ht="162" customHeight="1">
      <c r="A160" s="75" t="s">
        <v>290</v>
      </c>
      <c r="B160" s="75" t="s">
        <v>100</v>
      </c>
      <c r="C160" s="62" t="s">
        <v>76</v>
      </c>
      <c r="D160" s="47" t="s">
        <v>291</v>
      </c>
      <c r="E160" s="48">
        <f>F160+I160</f>
        <v>840000</v>
      </c>
      <c r="F160" s="48">
        <f>950000-110000</f>
        <v>840000</v>
      </c>
      <c r="G160" s="48"/>
      <c r="H160" s="48"/>
      <c r="I160" s="48"/>
      <c r="J160" s="48">
        <f>L160+O160</f>
        <v>0</v>
      </c>
      <c r="K160" s="48"/>
      <c r="L160" s="48"/>
      <c r="M160" s="48"/>
      <c r="N160" s="48"/>
      <c r="O160" s="48"/>
      <c r="P160" s="48"/>
      <c r="Q160" s="44">
        <f t="shared" si="39"/>
        <v>840000</v>
      </c>
    </row>
    <row r="161" spans="1:17" s="26" customFormat="1" ht="168" customHeight="1">
      <c r="A161" s="42" t="s">
        <v>439</v>
      </c>
      <c r="B161" s="42"/>
      <c r="C161" s="42"/>
      <c r="D161" s="43" t="s">
        <v>309</v>
      </c>
      <c r="E161" s="44">
        <f>E162</f>
        <v>240594130.38999999</v>
      </c>
      <c r="F161" s="44">
        <f t="shared" ref="F161:P161" si="49">F162</f>
        <v>4741679</v>
      </c>
      <c r="G161" s="44">
        <f t="shared" si="49"/>
        <v>2034206</v>
      </c>
      <c r="H161" s="44">
        <f t="shared" si="49"/>
        <v>0</v>
      </c>
      <c r="I161" s="44">
        <f t="shared" si="49"/>
        <v>235852451.38999999</v>
      </c>
      <c r="J161" s="44">
        <f t="shared" si="49"/>
        <v>6622554.6300000008</v>
      </c>
      <c r="K161" s="44">
        <f t="shared" si="49"/>
        <v>4007670.02</v>
      </c>
      <c r="L161" s="44">
        <f t="shared" si="49"/>
        <v>0</v>
      </c>
      <c r="M161" s="44">
        <f t="shared" si="49"/>
        <v>0</v>
      </c>
      <c r="N161" s="44">
        <f t="shared" si="49"/>
        <v>0</v>
      </c>
      <c r="O161" s="44">
        <f t="shared" si="49"/>
        <v>6622554.6300000008</v>
      </c>
      <c r="P161" s="44">
        <f t="shared" si="49"/>
        <v>0</v>
      </c>
      <c r="Q161" s="44">
        <f t="shared" si="39"/>
        <v>247216685.01999998</v>
      </c>
    </row>
    <row r="162" spans="1:17" s="26" customFormat="1" ht="134.25" customHeight="1">
      <c r="A162" s="42" t="s">
        <v>440</v>
      </c>
      <c r="B162" s="42"/>
      <c r="C162" s="42"/>
      <c r="D162" s="43" t="s">
        <v>309</v>
      </c>
      <c r="E162" s="44">
        <f>SUM(E163:E172)</f>
        <v>240594130.38999999</v>
      </c>
      <c r="F162" s="44">
        <f t="shared" ref="F162:Q162" si="50">SUM(F163:F172)</f>
        <v>4741679</v>
      </c>
      <c r="G162" s="44">
        <f t="shared" si="50"/>
        <v>2034206</v>
      </c>
      <c r="H162" s="44">
        <f t="shared" si="50"/>
        <v>0</v>
      </c>
      <c r="I162" s="44">
        <f t="shared" si="50"/>
        <v>235852451.38999999</v>
      </c>
      <c r="J162" s="44">
        <f t="shared" si="50"/>
        <v>6622554.6300000008</v>
      </c>
      <c r="K162" s="44">
        <f t="shared" si="50"/>
        <v>4007670.02</v>
      </c>
      <c r="L162" s="44">
        <f t="shared" si="50"/>
        <v>0</v>
      </c>
      <c r="M162" s="44">
        <f t="shared" si="50"/>
        <v>0</v>
      </c>
      <c r="N162" s="44">
        <f t="shared" si="50"/>
        <v>0</v>
      </c>
      <c r="O162" s="44">
        <f t="shared" si="50"/>
        <v>6622554.6300000008</v>
      </c>
      <c r="P162" s="44">
        <f t="shared" si="50"/>
        <v>0</v>
      </c>
      <c r="Q162" s="44">
        <f t="shared" si="50"/>
        <v>247216685.02000001</v>
      </c>
    </row>
    <row r="163" spans="1:17" s="26" customFormat="1" ht="245.25" customHeight="1">
      <c r="A163" s="63" t="s">
        <v>318</v>
      </c>
      <c r="B163" s="63" t="s">
        <v>113</v>
      </c>
      <c r="C163" s="45" t="s">
        <v>53</v>
      </c>
      <c r="D163" s="47" t="s">
        <v>304</v>
      </c>
      <c r="E163" s="48">
        <f t="shared" ref="E163:E169" si="51">F163+I163</f>
        <v>2566471</v>
      </c>
      <c r="F163" s="48">
        <f>2590183-23712</f>
        <v>2566471</v>
      </c>
      <c r="G163" s="48">
        <f>2053642-19436</f>
        <v>2034206</v>
      </c>
      <c r="H163" s="48"/>
      <c r="I163" s="48"/>
      <c r="J163" s="48">
        <f>L163+O163</f>
        <v>0</v>
      </c>
      <c r="K163" s="48"/>
      <c r="L163" s="48"/>
      <c r="M163" s="48"/>
      <c r="N163" s="48"/>
      <c r="O163" s="48"/>
      <c r="P163" s="48"/>
      <c r="Q163" s="44">
        <f t="shared" si="39"/>
        <v>2566471</v>
      </c>
    </row>
    <row r="164" spans="1:17" s="26" customFormat="1" ht="204" customHeight="1">
      <c r="A164" s="63">
        <v>1910180</v>
      </c>
      <c r="B164" s="64" t="s">
        <v>60</v>
      </c>
      <c r="C164" s="45" t="s">
        <v>61</v>
      </c>
      <c r="D164" s="47" t="s">
        <v>62</v>
      </c>
      <c r="E164" s="48">
        <f t="shared" si="51"/>
        <v>14752</v>
      </c>
      <c r="F164" s="48">
        <f>35472-20720</f>
        <v>14752</v>
      </c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4">
        <f t="shared" si="39"/>
        <v>14752</v>
      </c>
    </row>
    <row r="165" spans="1:17" s="26" customFormat="1" ht="204.75" customHeight="1">
      <c r="A165" s="45" t="s">
        <v>347</v>
      </c>
      <c r="B165" s="63" t="s">
        <v>63</v>
      </c>
      <c r="C165" s="45" t="s">
        <v>64</v>
      </c>
      <c r="D165" s="47" t="s">
        <v>65</v>
      </c>
      <c r="E165" s="48">
        <f t="shared" si="51"/>
        <v>2082456</v>
      </c>
      <c r="F165" s="48">
        <v>2082456</v>
      </c>
      <c r="G165" s="48"/>
      <c r="H165" s="48"/>
      <c r="I165" s="48"/>
      <c r="J165" s="48">
        <f>L165+O165</f>
        <v>0</v>
      </c>
      <c r="K165" s="48"/>
      <c r="L165" s="48"/>
      <c r="M165" s="48"/>
      <c r="N165" s="48"/>
      <c r="O165" s="48"/>
      <c r="P165" s="48"/>
      <c r="Q165" s="44">
        <f t="shared" si="39"/>
        <v>2082456</v>
      </c>
    </row>
    <row r="166" spans="1:17" s="26" customFormat="1" ht="181.5" hidden="1" customHeight="1">
      <c r="A166" s="45" t="s">
        <v>406</v>
      </c>
      <c r="B166" s="63">
        <v>7370</v>
      </c>
      <c r="C166" s="45" t="s">
        <v>76</v>
      </c>
      <c r="D166" s="65" t="s">
        <v>77</v>
      </c>
      <c r="E166" s="48"/>
      <c r="F166" s="48"/>
      <c r="G166" s="48"/>
      <c r="H166" s="48"/>
      <c r="I166" s="48"/>
      <c r="J166" s="48">
        <f>+O166</f>
        <v>0</v>
      </c>
      <c r="K166" s="48">
        <f>750000-750000</f>
        <v>0</v>
      </c>
      <c r="L166" s="48"/>
      <c r="M166" s="48"/>
      <c r="N166" s="48"/>
      <c r="O166" s="48">
        <f>750000-750000</f>
        <v>0</v>
      </c>
      <c r="P166" s="48"/>
      <c r="Q166" s="44">
        <f>E166+J166</f>
        <v>0</v>
      </c>
    </row>
    <row r="167" spans="1:17" s="26" customFormat="1" ht="104.25" customHeight="1">
      <c r="A167" s="45" t="s">
        <v>312</v>
      </c>
      <c r="B167" s="63" t="s">
        <v>78</v>
      </c>
      <c r="C167" s="45" t="s">
        <v>79</v>
      </c>
      <c r="D167" s="65" t="s">
        <v>80</v>
      </c>
      <c r="E167" s="48">
        <f t="shared" si="51"/>
        <v>138360320</v>
      </c>
      <c r="F167" s="48"/>
      <c r="G167" s="48"/>
      <c r="H167" s="48"/>
      <c r="I167" s="48">
        <f>138420320-400000-660000+1000000</f>
        <v>138360320</v>
      </c>
      <c r="J167" s="48">
        <f t="shared" ref="J167:J168" si="52">+O167</f>
        <v>0</v>
      </c>
      <c r="K167" s="48"/>
      <c r="L167" s="48"/>
      <c r="M167" s="48"/>
      <c r="N167" s="48"/>
      <c r="O167" s="48"/>
      <c r="P167" s="48"/>
      <c r="Q167" s="44">
        <f t="shared" si="39"/>
        <v>138360320</v>
      </c>
    </row>
    <row r="168" spans="1:17" s="26" customFormat="1" ht="120.75" customHeight="1">
      <c r="A168" s="45" t="s">
        <v>313</v>
      </c>
      <c r="B168" s="63" t="s">
        <v>81</v>
      </c>
      <c r="C168" s="45" t="s">
        <v>82</v>
      </c>
      <c r="D168" s="65" t="s">
        <v>83</v>
      </c>
      <c r="E168" s="48">
        <f t="shared" si="51"/>
        <v>10509216</v>
      </c>
      <c r="F168" s="48"/>
      <c r="G168" s="48"/>
      <c r="H168" s="48"/>
      <c r="I168" s="48">
        <v>10509216</v>
      </c>
      <c r="J168" s="48">
        <f t="shared" si="52"/>
        <v>573400</v>
      </c>
      <c r="K168" s="48">
        <v>573400</v>
      </c>
      <c r="L168" s="48"/>
      <c r="M168" s="48"/>
      <c r="N168" s="48"/>
      <c r="O168" s="48">
        <v>573400</v>
      </c>
      <c r="P168" s="48"/>
      <c r="Q168" s="44">
        <f t="shared" si="39"/>
        <v>11082616</v>
      </c>
    </row>
    <row r="169" spans="1:17" s="26" customFormat="1" ht="224.25" customHeight="1">
      <c r="A169" s="66" t="s">
        <v>314</v>
      </c>
      <c r="B169" s="66" t="s">
        <v>274</v>
      </c>
      <c r="C169" s="66" t="s">
        <v>82</v>
      </c>
      <c r="D169" s="65" t="s">
        <v>275</v>
      </c>
      <c r="E169" s="48">
        <f t="shared" si="51"/>
        <v>86982915.390000001</v>
      </c>
      <c r="F169" s="48"/>
      <c r="G169" s="48"/>
      <c r="H169" s="48"/>
      <c r="I169" s="48">
        <f>95321800+50000-415884.61-6000000-2000000+27000</f>
        <v>86982915.390000001</v>
      </c>
      <c r="J169" s="48">
        <f t="shared" ref="J169" si="53">+L169+O169</f>
        <v>43387.72</v>
      </c>
      <c r="K169" s="48"/>
      <c r="L169" s="48"/>
      <c r="M169" s="48"/>
      <c r="N169" s="48"/>
      <c r="O169" s="48">
        <v>43387.72</v>
      </c>
      <c r="P169" s="48"/>
      <c r="Q169" s="44">
        <f t="shared" si="39"/>
        <v>87026303.109999999</v>
      </c>
    </row>
    <row r="170" spans="1:17" s="26" customFormat="1" ht="224.25" customHeight="1">
      <c r="A170" s="45" t="s">
        <v>422</v>
      </c>
      <c r="B170" s="45" t="s">
        <v>341</v>
      </c>
      <c r="C170" s="45" t="s">
        <v>76</v>
      </c>
      <c r="D170" s="47" t="s">
        <v>410</v>
      </c>
      <c r="E170" s="48"/>
      <c r="F170" s="48"/>
      <c r="G170" s="48"/>
      <c r="H170" s="48"/>
      <c r="I170" s="48"/>
      <c r="J170" s="48">
        <f>+O170</f>
        <v>3434270.02</v>
      </c>
      <c r="K170" s="48">
        <f>684270.02+2750000</f>
        <v>3434270.02</v>
      </c>
      <c r="L170" s="48"/>
      <c r="M170" s="48"/>
      <c r="N170" s="48"/>
      <c r="O170" s="48">
        <f>684270.02+2750000</f>
        <v>3434270.02</v>
      </c>
      <c r="P170" s="48"/>
      <c r="Q170" s="44">
        <f t="shared" si="39"/>
        <v>3434270.02</v>
      </c>
    </row>
    <row r="171" spans="1:17" s="26" customFormat="1" ht="409.6" customHeight="1">
      <c r="A171" s="66" t="s">
        <v>315</v>
      </c>
      <c r="B171" s="66" t="s">
        <v>276</v>
      </c>
      <c r="C171" s="66" t="s">
        <v>76</v>
      </c>
      <c r="D171" s="65" t="s">
        <v>277</v>
      </c>
      <c r="E171" s="48">
        <f>F171+I171</f>
        <v>0</v>
      </c>
      <c r="F171" s="48"/>
      <c r="G171" s="48"/>
      <c r="H171" s="48"/>
      <c r="I171" s="48"/>
      <c r="J171" s="48">
        <f>L171+O171</f>
        <v>2571496.89</v>
      </c>
      <c r="K171" s="48"/>
      <c r="L171" s="48"/>
      <c r="M171" s="48"/>
      <c r="N171" s="48"/>
      <c r="O171" s="48">
        <f>2199000+372496.89</f>
        <v>2571496.89</v>
      </c>
      <c r="P171" s="48"/>
      <c r="Q171" s="44">
        <f t="shared" si="39"/>
        <v>2571496.89</v>
      </c>
    </row>
    <row r="172" spans="1:17" s="26" customFormat="1" ht="151.5" customHeight="1">
      <c r="A172" s="66" t="s">
        <v>447</v>
      </c>
      <c r="B172" s="66" t="s">
        <v>102</v>
      </c>
      <c r="C172" s="66" t="s">
        <v>103</v>
      </c>
      <c r="D172" s="65" t="s">
        <v>104</v>
      </c>
      <c r="E172" s="48">
        <f>F172+I172</f>
        <v>78000</v>
      </c>
      <c r="F172" s="48">
        <v>78000</v>
      </c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4">
        <f t="shared" si="39"/>
        <v>78000</v>
      </c>
    </row>
    <row r="173" spans="1:17" s="10" customFormat="1" ht="97.5" customHeight="1">
      <c r="A173" s="67" t="s">
        <v>349</v>
      </c>
      <c r="B173" s="67"/>
      <c r="C173" s="67"/>
      <c r="D173" s="43" t="s">
        <v>327</v>
      </c>
      <c r="E173" s="44">
        <f>E174</f>
        <v>6077576</v>
      </c>
      <c r="F173" s="44">
        <f t="shared" ref="F173:Q173" si="54">F174</f>
        <v>6077576</v>
      </c>
      <c r="G173" s="44">
        <f t="shared" si="54"/>
        <v>1600808</v>
      </c>
      <c r="H173" s="44">
        <f t="shared" si="54"/>
        <v>210464</v>
      </c>
      <c r="I173" s="44">
        <f t="shared" si="54"/>
        <v>0</v>
      </c>
      <c r="J173" s="44">
        <f t="shared" si="54"/>
        <v>10761</v>
      </c>
      <c r="K173" s="44">
        <f t="shared" si="54"/>
        <v>10761</v>
      </c>
      <c r="L173" s="44">
        <f t="shared" si="54"/>
        <v>0</v>
      </c>
      <c r="M173" s="44">
        <f t="shared" si="54"/>
        <v>0</v>
      </c>
      <c r="N173" s="44">
        <f t="shared" si="54"/>
        <v>0</v>
      </c>
      <c r="O173" s="44">
        <f t="shared" si="54"/>
        <v>10761</v>
      </c>
      <c r="P173" s="44">
        <f t="shared" si="54"/>
        <v>0</v>
      </c>
      <c r="Q173" s="44">
        <f t="shared" si="54"/>
        <v>6088337</v>
      </c>
    </row>
    <row r="174" spans="1:17" s="10" customFormat="1" ht="117.95" customHeight="1">
      <c r="A174" s="42" t="s">
        <v>350</v>
      </c>
      <c r="B174" s="42"/>
      <c r="C174" s="42"/>
      <c r="D174" s="43" t="s">
        <v>327</v>
      </c>
      <c r="E174" s="44">
        <f t="shared" ref="E174:Q174" si="55">SUM(E175:E182)</f>
        <v>6077576</v>
      </c>
      <c r="F174" s="44">
        <f t="shared" si="55"/>
        <v>6077576</v>
      </c>
      <c r="G174" s="44">
        <f t="shared" si="55"/>
        <v>1600808</v>
      </c>
      <c r="H174" s="44">
        <f t="shared" si="55"/>
        <v>210464</v>
      </c>
      <c r="I174" s="44">
        <f t="shared" si="55"/>
        <v>0</v>
      </c>
      <c r="J174" s="44">
        <f t="shared" si="55"/>
        <v>10761</v>
      </c>
      <c r="K174" s="44">
        <f t="shared" si="55"/>
        <v>10761</v>
      </c>
      <c r="L174" s="44">
        <f t="shared" si="55"/>
        <v>0</v>
      </c>
      <c r="M174" s="44">
        <f t="shared" si="55"/>
        <v>0</v>
      </c>
      <c r="N174" s="44">
        <f t="shared" si="55"/>
        <v>0</v>
      </c>
      <c r="O174" s="44">
        <f t="shared" si="55"/>
        <v>10761</v>
      </c>
      <c r="P174" s="44">
        <f t="shared" si="55"/>
        <v>0</v>
      </c>
      <c r="Q174" s="44">
        <f t="shared" si="55"/>
        <v>6088337</v>
      </c>
    </row>
    <row r="175" spans="1:17" s="26" customFormat="1" ht="186">
      <c r="A175" s="45" t="s">
        <v>351</v>
      </c>
      <c r="B175" s="45" t="s">
        <v>113</v>
      </c>
      <c r="C175" s="45" t="s">
        <v>53</v>
      </c>
      <c r="D175" s="47" t="s">
        <v>304</v>
      </c>
      <c r="E175" s="48">
        <f t="shared" ref="E175:E179" si="56">F175+I175</f>
        <v>1896607</v>
      </c>
      <c r="F175" s="48">
        <f>1911912-15305</f>
        <v>1896607</v>
      </c>
      <c r="G175" s="48">
        <f>1346196-12545</f>
        <v>1333651</v>
      </c>
      <c r="H175" s="48">
        <v>100173</v>
      </c>
      <c r="I175" s="48"/>
      <c r="J175" s="48"/>
      <c r="K175" s="48"/>
      <c r="L175" s="48"/>
      <c r="M175" s="48"/>
      <c r="N175" s="48"/>
      <c r="O175" s="48"/>
      <c r="P175" s="48"/>
      <c r="Q175" s="44">
        <f t="shared" ref="Q175:Q182" si="57">+E175+J175</f>
        <v>1896607</v>
      </c>
    </row>
    <row r="176" spans="1:17" s="26" customFormat="1" ht="69.75">
      <c r="A176" s="45" t="s">
        <v>352</v>
      </c>
      <c r="B176" s="45" t="s">
        <v>60</v>
      </c>
      <c r="C176" s="46" t="s">
        <v>61</v>
      </c>
      <c r="D176" s="47" t="s">
        <v>62</v>
      </c>
      <c r="E176" s="48">
        <f t="shared" si="56"/>
        <v>28222</v>
      </c>
      <c r="F176" s="48">
        <v>28222</v>
      </c>
      <c r="G176" s="48"/>
      <c r="H176" s="48"/>
      <c r="I176" s="48"/>
      <c r="J176" s="48">
        <f>L176+O176</f>
        <v>0</v>
      </c>
      <c r="K176" s="48"/>
      <c r="L176" s="48"/>
      <c r="M176" s="48"/>
      <c r="N176" s="48"/>
      <c r="O176" s="48"/>
      <c r="P176" s="48"/>
      <c r="Q176" s="44">
        <f t="shared" si="57"/>
        <v>28222</v>
      </c>
    </row>
    <row r="177" spans="1:17" s="26" customFormat="1" ht="93">
      <c r="A177" s="45" t="s">
        <v>353</v>
      </c>
      <c r="B177" s="45" t="s">
        <v>197</v>
      </c>
      <c r="C177" s="45" t="s">
        <v>123</v>
      </c>
      <c r="D177" s="47" t="s">
        <v>198</v>
      </c>
      <c r="E177" s="48">
        <f t="shared" si="56"/>
        <v>452300</v>
      </c>
      <c r="F177" s="48">
        <v>452300</v>
      </c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4">
        <f t="shared" si="57"/>
        <v>452300</v>
      </c>
    </row>
    <row r="178" spans="1:17" s="26" customFormat="1" ht="64.5" customHeight="1">
      <c r="A178" s="45" t="s">
        <v>354</v>
      </c>
      <c r="B178" s="45" t="s">
        <v>203</v>
      </c>
      <c r="C178" s="45" t="s">
        <v>204</v>
      </c>
      <c r="D178" s="47" t="s">
        <v>205</v>
      </c>
      <c r="E178" s="48">
        <f t="shared" si="56"/>
        <v>123778</v>
      </c>
      <c r="F178" s="48">
        <v>123778</v>
      </c>
      <c r="G178" s="48">
        <v>71353</v>
      </c>
      <c r="H178" s="48">
        <v>26771</v>
      </c>
      <c r="I178" s="48"/>
      <c r="J178" s="48">
        <f t="shared" ref="J178:J180" si="58">+L178+O178</f>
        <v>0</v>
      </c>
      <c r="K178" s="48"/>
      <c r="L178" s="48"/>
      <c r="M178" s="48"/>
      <c r="N178" s="48"/>
      <c r="O178" s="48"/>
      <c r="P178" s="48"/>
      <c r="Q178" s="44">
        <f t="shared" si="57"/>
        <v>123778</v>
      </c>
    </row>
    <row r="179" spans="1:17" s="26" customFormat="1" ht="181.5" customHeight="1">
      <c r="A179" s="45" t="s">
        <v>355</v>
      </c>
      <c r="B179" s="45" t="s">
        <v>207</v>
      </c>
      <c r="C179" s="45" t="s">
        <v>208</v>
      </c>
      <c r="D179" s="47" t="s">
        <v>209</v>
      </c>
      <c r="E179" s="48">
        <f t="shared" si="56"/>
        <v>669108</v>
      </c>
      <c r="F179" s="48">
        <f>604049+65059</f>
        <v>669108</v>
      </c>
      <c r="G179" s="48">
        <v>195804</v>
      </c>
      <c r="H179" s="48">
        <v>39717</v>
      </c>
      <c r="I179" s="48"/>
      <c r="J179" s="48">
        <f t="shared" si="58"/>
        <v>0</v>
      </c>
      <c r="K179" s="48"/>
      <c r="L179" s="48"/>
      <c r="M179" s="48"/>
      <c r="N179" s="48"/>
      <c r="O179" s="48"/>
      <c r="P179" s="48"/>
      <c r="Q179" s="44">
        <f t="shared" si="57"/>
        <v>669108</v>
      </c>
    </row>
    <row r="180" spans="1:17" s="26" customFormat="1" ht="76.7" customHeight="1">
      <c r="A180" s="45" t="s">
        <v>356</v>
      </c>
      <c r="B180" s="45" t="s">
        <v>219</v>
      </c>
      <c r="C180" s="45" t="s">
        <v>216</v>
      </c>
      <c r="D180" s="47" t="s">
        <v>220</v>
      </c>
      <c r="E180" s="48">
        <f>F180+I180</f>
        <v>214941</v>
      </c>
      <c r="F180" s="48">
        <f>300000-85059</f>
        <v>214941</v>
      </c>
      <c r="G180" s="48"/>
      <c r="H180" s="48"/>
      <c r="I180" s="48"/>
      <c r="J180" s="48">
        <f t="shared" si="58"/>
        <v>0</v>
      </c>
      <c r="K180" s="48"/>
      <c r="L180" s="48"/>
      <c r="M180" s="48"/>
      <c r="N180" s="48"/>
      <c r="O180" s="48"/>
      <c r="P180" s="48"/>
      <c r="Q180" s="44">
        <f t="shared" si="57"/>
        <v>214941</v>
      </c>
    </row>
    <row r="181" spans="1:17" s="26" customFormat="1" ht="90" customHeight="1">
      <c r="A181" s="45" t="s">
        <v>357</v>
      </c>
      <c r="B181" s="45" t="s">
        <v>68</v>
      </c>
      <c r="C181" s="45" t="s">
        <v>67</v>
      </c>
      <c r="D181" s="47" t="s">
        <v>69</v>
      </c>
      <c r="E181" s="48">
        <f t="shared" ref="E181:E182" si="59">F181+I181</f>
        <v>572620</v>
      </c>
      <c r="F181" s="48">
        <f>583381-10761</f>
        <v>572620</v>
      </c>
      <c r="G181" s="48"/>
      <c r="H181" s="48">
        <v>43803</v>
      </c>
      <c r="I181" s="48"/>
      <c r="J181" s="48">
        <f>+L181+O181</f>
        <v>10761</v>
      </c>
      <c r="K181" s="48">
        <v>10761</v>
      </c>
      <c r="L181" s="48"/>
      <c r="M181" s="48"/>
      <c r="N181" s="48"/>
      <c r="O181" s="48">
        <v>10761</v>
      </c>
      <c r="P181" s="48"/>
      <c r="Q181" s="44">
        <f t="shared" si="57"/>
        <v>583381</v>
      </c>
    </row>
    <row r="182" spans="1:17" s="26" customFormat="1" ht="176.25" customHeight="1">
      <c r="A182" s="66" t="s">
        <v>358</v>
      </c>
      <c r="B182" s="66" t="s">
        <v>274</v>
      </c>
      <c r="C182" s="66" t="s">
        <v>82</v>
      </c>
      <c r="D182" s="65" t="s">
        <v>275</v>
      </c>
      <c r="E182" s="48">
        <f t="shared" si="59"/>
        <v>2120000</v>
      </c>
      <c r="F182" s="48">
        <v>2120000</v>
      </c>
      <c r="G182" s="48"/>
      <c r="H182" s="48"/>
      <c r="I182" s="48"/>
      <c r="J182" s="48">
        <f>L182+O182</f>
        <v>0</v>
      </c>
      <c r="K182" s="48"/>
      <c r="L182" s="48"/>
      <c r="M182" s="48"/>
      <c r="N182" s="48"/>
      <c r="O182" s="48"/>
      <c r="P182" s="48"/>
      <c r="Q182" s="44">
        <f t="shared" si="57"/>
        <v>2120000</v>
      </c>
    </row>
    <row r="183" spans="1:17" s="26" customFormat="1" ht="198" customHeight="1">
      <c r="A183" s="42" t="s">
        <v>441</v>
      </c>
      <c r="B183" s="42"/>
      <c r="C183" s="42"/>
      <c r="D183" s="43" t="s">
        <v>317</v>
      </c>
      <c r="E183" s="44">
        <f t="shared" ref="E183:P183" si="60">E184</f>
        <v>10566998.1</v>
      </c>
      <c r="F183" s="44">
        <f t="shared" si="60"/>
        <v>8321453.0999999996</v>
      </c>
      <c r="G183" s="44">
        <f t="shared" si="60"/>
        <v>4075971</v>
      </c>
      <c r="H183" s="44">
        <f t="shared" si="60"/>
        <v>162674</v>
      </c>
      <c r="I183" s="44">
        <f t="shared" si="60"/>
        <v>2245545</v>
      </c>
      <c r="J183" s="44">
        <f t="shared" si="60"/>
        <v>0</v>
      </c>
      <c r="K183" s="44">
        <f t="shared" si="60"/>
        <v>0</v>
      </c>
      <c r="L183" s="44">
        <f t="shared" si="60"/>
        <v>0</v>
      </c>
      <c r="M183" s="44">
        <f t="shared" si="60"/>
        <v>0</v>
      </c>
      <c r="N183" s="44">
        <f t="shared" si="60"/>
        <v>0</v>
      </c>
      <c r="O183" s="44">
        <f t="shared" si="60"/>
        <v>0</v>
      </c>
      <c r="P183" s="44">
        <f t="shared" si="60"/>
        <v>0</v>
      </c>
      <c r="Q183" s="44">
        <f t="shared" si="39"/>
        <v>10566998.1</v>
      </c>
    </row>
    <row r="184" spans="1:17" s="26" customFormat="1" ht="205.5" customHeight="1">
      <c r="A184" s="42" t="s">
        <v>442</v>
      </c>
      <c r="B184" s="42"/>
      <c r="C184" s="42"/>
      <c r="D184" s="43" t="s">
        <v>317</v>
      </c>
      <c r="E184" s="44">
        <f>SUM(E185:E189)</f>
        <v>10566998.1</v>
      </c>
      <c r="F184" s="44">
        <f t="shared" ref="F184:P184" si="61">SUM(F185:F189)</f>
        <v>8321453.0999999996</v>
      </c>
      <c r="G184" s="44">
        <f t="shared" si="61"/>
        <v>4075971</v>
      </c>
      <c r="H184" s="44">
        <f t="shared" si="61"/>
        <v>162674</v>
      </c>
      <c r="I184" s="44">
        <f t="shared" si="61"/>
        <v>2245545</v>
      </c>
      <c r="J184" s="44">
        <f t="shared" si="61"/>
        <v>0</v>
      </c>
      <c r="K184" s="44">
        <f t="shared" si="61"/>
        <v>0</v>
      </c>
      <c r="L184" s="44">
        <f t="shared" si="61"/>
        <v>0</v>
      </c>
      <c r="M184" s="44">
        <f t="shared" si="61"/>
        <v>0</v>
      </c>
      <c r="N184" s="44">
        <f t="shared" si="61"/>
        <v>0</v>
      </c>
      <c r="O184" s="44">
        <f t="shared" si="61"/>
        <v>0</v>
      </c>
      <c r="P184" s="44">
        <f t="shared" si="61"/>
        <v>0</v>
      </c>
      <c r="Q184" s="44">
        <f t="shared" si="39"/>
        <v>10566998.1</v>
      </c>
    </row>
    <row r="185" spans="1:17" s="26" customFormat="1" ht="205.5" customHeight="1">
      <c r="A185" s="45" t="s">
        <v>319</v>
      </c>
      <c r="B185" s="63" t="s">
        <v>113</v>
      </c>
      <c r="C185" s="45" t="s">
        <v>53</v>
      </c>
      <c r="D185" s="47" t="s">
        <v>304</v>
      </c>
      <c r="E185" s="48">
        <f>F185+I185</f>
        <v>3428363</v>
      </c>
      <c r="F185" s="48">
        <f>3457066-28703</f>
        <v>3428363</v>
      </c>
      <c r="G185" s="48">
        <f>2588870-23527</f>
        <v>2565343</v>
      </c>
      <c r="H185" s="48">
        <v>30604</v>
      </c>
      <c r="I185" s="48"/>
      <c r="J185" s="48">
        <f>L185+O185</f>
        <v>0</v>
      </c>
      <c r="K185" s="48"/>
      <c r="L185" s="48"/>
      <c r="M185" s="48"/>
      <c r="N185" s="48"/>
      <c r="O185" s="48"/>
      <c r="P185" s="48"/>
      <c r="Q185" s="44">
        <f t="shared" si="39"/>
        <v>3428363</v>
      </c>
    </row>
    <row r="186" spans="1:17" s="26" customFormat="1" ht="119.25" customHeight="1">
      <c r="A186" s="45" t="s">
        <v>316</v>
      </c>
      <c r="B186" s="45" t="s">
        <v>163</v>
      </c>
      <c r="C186" s="45" t="s">
        <v>164</v>
      </c>
      <c r="D186" s="47" t="s">
        <v>165</v>
      </c>
      <c r="E186" s="48">
        <f>F186+I186</f>
        <v>2245545</v>
      </c>
      <c r="F186" s="48"/>
      <c r="G186" s="44"/>
      <c r="H186" s="44"/>
      <c r="I186" s="48">
        <v>2245545</v>
      </c>
      <c r="J186" s="48">
        <f>L186+O186</f>
        <v>0</v>
      </c>
      <c r="K186" s="44"/>
      <c r="L186" s="44"/>
      <c r="M186" s="44"/>
      <c r="N186" s="44"/>
      <c r="O186" s="44"/>
      <c r="P186" s="44"/>
      <c r="Q186" s="44">
        <f t="shared" si="39"/>
        <v>2245545</v>
      </c>
    </row>
    <row r="187" spans="1:17" s="26" customFormat="1" ht="149.25" customHeight="1">
      <c r="A187" s="45" t="s">
        <v>310</v>
      </c>
      <c r="B187" s="45" t="s">
        <v>102</v>
      </c>
      <c r="C187" s="45" t="s">
        <v>103</v>
      </c>
      <c r="D187" s="47" t="s">
        <v>104</v>
      </c>
      <c r="E187" s="48">
        <f>F187+I187</f>
        <v>558475</v>
      </c>
      <c r="F187" s="48">
        <f>358500+199975</f>
        <v>558475</v>
      </c>
      <c r="G187" s="48"/>
      <c r="H187" s="48"/>
      <c r="I187" s="48"/>
      <c r="J187" s="48">
        <f>L187+O187</f>
        <v>0</v>
      </c>
      <c r="K187" s="48"/>
      <c r="L187" s="48"/>
      <c r="M187" s="48"/>
      <c r="N187" s="48"/>
      <c r="O187" s="48"/>
      <c r="P187" s="48"/>
      <c r="Q187" s="44">
        <f t="shared" si="39"/>
        <v>558475</v>
      </c>
    </row>
    <row r="188" spans="1:17" s="26" customFormat="1" ht="130.69999999999999" customHeight="1">
      <c r="A188" s="66" t="s">
        <v>320</v>
      </c>
      <c r="B188" s="66" t="s">
        <v>278</v>
      </c>
      <c r="C188" s="66" t="s">
        <v>103</v>
      </c>
      <c r="D188" s="47" t="s">
        <v>279</v>
      </c>
      <c r="E188" s="48">
        <f>F188+I188</f>
        <v>2229394</v>
      </c>
      <c r="F188" s="48">
        <v>2229394</v>
      </c>
      <c r="G188" s="48">
        <v>1510628</v>
      </c>
      <c r="H188" s="48">
        <v>132070</v>
      </c>
      <c r="I188" s="48"/>
      <c r="J188" s="48"/>
      <c r="K188" s="48"/>
      <c r="L188" s="48"/>
      <c r="M188" s="48"/>
      <c r="N188" s="48"/>
      <c r="O188" s="48"/>
      <c r="P188" s="48"/>
      <c r="Q188" s="44">
        <f t="shared" si="39"/>
        <v>2229394</v>
      </c>
    </row>
    <row r="189" spans="1:17" s="26" customFormat="1" ht="102" customHeight="1">
      <c r="A189" s="45" t="s">
        <v>311</v>
      </c>
      <c r="B189" s="45" t="s">
        <v>105</v>
      </c>
      <c r="C189" s="45" t="s">
        <v>106</v>
      </c>
      <c r="D189" s="47" t="s">
        <v>107</v>
      </c>
      <c r="E189" s="48">
        <f>F189+I189</f>
        <v>2105221.1</v>
      </c>
      <c r="F189" s="48">
        <f>2044647+60574.1</f>
        <v>2105221.1</v>
      </c>
      <c r="G189" s="48"/>
      <c r="H189" s="48"/>
      <c r="I189" s="48"/>
      <c r="J189" s="48">
        <f>L189+O189</f>
        <v>0</v>
      </c>
      <c r="K189" s="48"/>
      <c r="L189" s="48"/>
      <c r="M189" s="48"/>
      <c r="N189" s="48"/>
      <c r="O189" s="48"/>
      <c r="P189" s="48"/>
      <c r="Q189" s="44">
        <f t="shared" si="39"/>
        <v>2105221.1</v>
      </c>
    </row>
    <row r="190" spans="1:17" s="10" customFormat="1" ht="139.69999999999999" customHeight="1">
      <c r="A190" s="42" t="s">
        <v>42</v>
      </c>
      <c r="B190" s="42"/>
      <c r="C190" s="42"/>
      <c r="D190" s="43" t="s">
        <v>43</v>
      </c>
      <c r="E190" s="44">
        <f>E191</f>
        <v>139822402.63</v>
      </c>
      <c r="F190" s="44">
        <f t="shared" ref="F190:P190" si="62">F191</f>
        <v>132487221</v>
      </c>
      <c r="G190" s="44">
        <f t="shared" si="62"/>
        <v>9610123</v>
      </c>
      <c r="H190" s="44">
        <f t="shared" si="62"/>
        <v>0</v>
      </c>
      <c r="I190" s="44">
        <f t="shared" si="62"/>
        <v>0</v>
      </c>
      <c r="J190" s="44">
        <f t="shared" si="62"/>
        <v>1526000</v>
      </c>
      <c r="K190" s="44">
        <f t="shared" si="62"/>
        <v>1526000</v>
      </c>
      <c r="L190" s="44">
        <f t="shared" si="62"/>
        <v>0</v>
      </c>
      <c r="M190" s="44">
        <f t="shared" si="62"/>
        <v>0</v>
      </c>
      <c r="N190" s="44">
        <f t="shared" si="62"/>
        <v>0</v>
      </c>
      <c r="O190" s="44">
        <f t="shared" si="62"/>
        <v>1526000</v>
      </c>
      <c r="P190" s="44">
        <f t="shared" si="62"/>
        <v>0</v>
      </c>
      <c r="Q190" s="44">
        <f t="shared" si="39"/>
        <v>141348402.63</v>
      </c>
    </row>
    <row r="191" spans="1:17" s="10" customFormat="1" ht="127.5" customHeight="1">
      <c r="A191" s="42" t="s">
        <v>44</v>
      </c>
      <c r="B191" s="42"/>
      <c r="C191" s="42"/>
      <c r="D191" s="43" t="s">
        <v>45</v>
      </c>
      <c r="E191" s="44">
        <f>SUM(E192:E198)</f>
        <v>139822402.63</v>
      </c>
      <c r="F191" s="44">
        <f t="shared" ref="F191:O191" si="63">SUM(F192:F198)</f>
        <v>132487221</v>
      </c>
      <c r="G191" s="44">
        <f t="shared" si="63"/>
        <v>9610123</v>
      </c>
      <c r="H191" s="44">
        <f t="shared" si="63"/>
        <v>0</v>
      </c>
      <c r="I191" s="44">
        <f t="shared" si="63"/>
        <v>0</v>
      </c>
      <c r="J191" s="44">
        <f t="shared" si="63"/>
        <v>1526000</v>
      </c>
      <c r="K191" s="44">
        <f t="shared" si="63"/>
        <v>1526000</v>
      </c>
      <c r="L191" s="44">
        <f t="shared" si="63"/>
        <v>0</v>
      </c>
      <c r="M191" s="44">
        <f t="shared" si="63"/>
        <v>0</v>
      </c>
      <c r="N191" s="44">
        <f t="shared" si="63"/>
        <v>0</v>
      </c>
      <c r="O191" s="44">
        <f t="shared" si="63"/>
        <v>1526000</v>
      </c>
      <c r="P191" s="44">
        <f t="shared" ref="P191" si="64">SUM(P192:P197)</f>
        <v>0</v>
      </c>
      <c r="Q191" s="44">
        <f t="shared" si="39"/>
        <v>141348402.63</v>
      </c>
    </row>
    <row r="192" spans="1:17" s="26" customFormat="1" ht="216" customHeight="1">
      <c r="A192" s="45" t="s">
        <v>292</v>
      </c>
      <c r="B192" s="45" t="s">
        <v>113</v>
      </c>
      <c r="C192" s="45" t="s">
        <v>53</v>
      </c>
      <c r="D192" s="47" t="s">
        <v>304</v>
      </c>
      <c r="E192" s="48">
        <f t="shared" ref="E192:E198" si="65">F192+I192</f>
        <v>12146758</v>
      </c>
      <c r="F192" s="48">
        <f>12252312-105554</f>
        <v>12146758</v>
      </c>
      <c r="G192" s="48">
        <f>9696643-86520</f>
        <v>9610123</v>
      </c>
      <c r="H192" s="48"/>
      <c r="I192" s="48"/>
      <c r="J192" s="48">
        <f t="shared" ref="J192:J198" si="66">L192+O192</f>
        <v>0</v>
      </c>
      <c r="K192" s="48"/>
      <c r="L192" s="48"/>
      <c r="M192" s="48"/>
      <c r="N192" s="48"/>
      <c r="O192" s="48"/>
      <c r="P192" s="48"/>
      <c r="Q192" s="44">
        <f t="shared" si="39"/>
        <v>12146758</v>
      </c>
    </row>
    <row r="193" spans="1:17" s="26" customFormat="1" ht="105" hidden="1" customHeight="1">
      <c r="A193" s="45" t="s">
        <v>293</v>
      </c>
      <c r="B193" s="45" t="s">
        <v>100</v>
      </c>
      <c r="C193" s="45" t="s">
        <v>76</v>
      </c>
      <c r="D193" s="68" t="s">
        <v>101</v>
      </c>
      <c r="E193" s="48">
        <f t="shared" si="65"/>
        <v>0</v>
      </c>
      <c r="F193" s="48">
        <f>300000-300000</f>
        <v>0</v>
      </c>
      <c r="G193" s="48"/>
      <c r="H193" s="48"/>
      <c r="I193" s="48"/>
      <c r="J193" s="48">
        <f t="shared" si="66"/>
        <v>0</v>
      </c>
      <c r="K193" s="48"/>
      <c r="L193" s="48"/>
      <c r="M193" s="48"/>
      <c r="N193" s="48"/>
      <c r="O193" s="48"/>
      <c r="P193" s="48"/>
      <c r="Q193" s="44">
        <f t="shared" si="39"/>
        <v>0</v>
      </c>
    </row>
    <row r="194" spans="1:17" s="26" customFormat="1" ht="105" customHeight="1">
      <c r="A194" s="45" t="s">
        <v>294</v>
      </c>
      <c r="B194" s="45" t="s">
        <v>295</v>
      </c>
      <c r="C194" s="45" t="s">
        <v>56</v>
      </c>
      <c r="D194" s="47" t="s">
        <v>296</v>
      </c>
      <c r="E194" s="48">
        <f t="shared" si="65"/>
        <v>4040832</v>
      </c>
      <c r="F194" s="48">
        <f>4437057-346325-49900</f>
        <v>4040832</v>
      </c>
      <c r="G194" s="48"/>
      <c r="H194" s="48"/>
      <c r="I194" s="48"/>
      <c r="J194" s="48">
        <f t="shared" si="66"/>
        <v>0</v>
      </c>
      <c r="K194" s="48"/>
      <c r="L194" s="48"/>
      <c r="M194" s="48"/>
      <c r="N194" s="48"/>
      <c r="O194" s="48"/>
      <c r="P194" s="48"/>
      <c r="Q194" s="44">
        <f t="shared" si="39"/>
        <v>4040832</v>
      </c>
    </row>
    <row r="195" spans="1:17" s="26" customFormat="1" ht="108" customHeight="1">
      <c r="A195" s="45" t="s">
        <v>297</v>
      </c>
      <c r="B195" s="45" t="s">
        <v>298</v>
      </c>
      <c r="C195" s="45" t="s">
        <v>61</v>
      </c>
      <c r="D195" s="68" t="s">
        <v>299</v>
      </c>
      <c r="E195" s="48">
        <v>7335181.6299999999</v>
      </c>
      <c r="F195" s="48"/>
      <c r="G195" s="48"/>
      <c r="H195" s="48"/>
      <c r="I195" s="48"/>
      <c r="J195" s="48">
        <f t="shared" si="66"/>
        <v>0</v>
      </c>
      <c r="K195" s="48"/>
      <c r="L195" s="48"/>
      <c r="M195" s="48"/>
      <c r="N195" s="48"/>
      <c r="O195" s="48"/>
      <c r="P195" s="48"/>
      <c r="Q195" s="44">
        <f t="shared" si="39"/>
        <v>7335181.6299999999</v>
      </c>
    </row>
    <row r="196" spans="1:17" s="26" customFormat="1" ht="72" customHeight="1">
      <c r="A196" s="45" t="s">
        <v>300</v>
      </c>
      <c r="B196" s="45" t="s">
        <v>301</v>
      </c>
      <c r="C196" s="45" t="s">
        <v>60</v>
      </c>
      <c r="D196" s="68" t="s">
        <v>302</v>
      </c>
      <c r="E196" s="48">
        <f t="shared" si="65"/>
        <v>107099000</v>
      </c>
      <c r="F196" s="48">
        <v>107099000</v>
      </c>
      <c r="G196" s="48"/>
      <c r="H196" s="48"/>
      <c r="I196" s="48"/>
      <c r="J196" s="48">
        <f t="shared" si="66"/>
        <v>0</v>
      </c>
      <c r="K196" s="48"/>
      <c r="L196" s="48"/>
      <c r="M196" s="48"/>
      <c r="N196" s="48"/>
      <c r="O196" s="48"/>
      <c r="P196" s="48"/>
      <c r="Q196" s="44">
        <f t="shared" si="39"/>
        <v>107099000</v>
      </c>
    </row>
    <row r="197" spans="1:17" s="26" customFormat="1" ht="99.75" customHeight="1">
      <c r="A197" s="45" t="s">
        <v>303</v>
      </c>
      <c r="B197" s="45" t="s">
        <v>141</v>
      </c>
      <c r="C197" s="45" t="s">
        <v>60</v>
      </c>
      <c r="D197" s="69" t="s">
        <v>142</v>
      </c>
      <c r="E197" s="48">
        <f t="shared" si="65"/>
        <v>8281631</v>
      </c>
      <c r="F197" s="48">
        <f>3970804+4430827-120000</f>
        <v>8281631</v>
      </c>
      <c r="G197" s="48"/>
      <c r="H197" s="48"/>
      <c r="I197" s="48"/>
      <c r="J197" s="48">
        <f t="shared" si="66"/>
        <v>0</v>
      </c>
      <c r="K197" s="48"/>
      <c r="L197" s="48"/>
      <c r="M197" s="48"/>
      <c r="N197" s="48"/>
      <c r="O197" s="48"/>
      <c r="P197" s="48"/>
      <c r="Q197" s="44">
        <f t="shared" si="39"/>
        <v>8281631</v>
      </c>
    </row>
    <row r="198" spans="1:17" s="26" customFormat="1" ht="181.5" customHeight="1">
      <c r="A198" s="45" t="s">
        <v>382</v>
      </c>
      <c r="B198" s="45" t="s">
        <v>384</v>
      </c>
      <c r="C198" s="45" t="s">
        <v>60</v>
      </c>
      <c r="D198" s="69" t="s">
        <v>383</v>
      </c>
      <c r="E198" s="48">
        <f t="shared" si="65"/>
        <v>919000</v>
      </c>
      <c r="F198" s="48">
        <f>419000+200000+300000</f>
        <v>919000</v>
      </c>
      <c r="G198" s="48"/>
      <c r="H198" s="48"/>
      <c r="I198" s="48"/>
      <c r="J198" s="48">
        <f t="shared" si="66"/>
        <v>1526000</v>
      </c>
      <c r="K198" s="48">
        <f>186000+650000+690000</f>
        <v>1526000</v>
      </c>
      <c r="L198" s="48"/>
      <c r="M198" s="48"/>
      <c r="N198" s="48"/>
      <c r="O198" s="48">
        <f>186000+650000+690000</f>
        <v>1526000</v>
      </c>
      <c r="P198" s="48"/>
      <c r="Q198" s="44">
        <f t="shared" si="39"/>
        <v>2445000</v>
      </c>
    </row>
    <row r="199" spans="1:17" s="10" customFormat="1" ht="87" customHeight="1">
      <c r="A199" s="45" t="s">
        <v>360</v>
      </c>
      <c r="B199" s="45" t="s">
        <v>360</v>
      </c>
      <c r="C199" s="45" t="s">
        <v>360</v>
      </c>
      <c r="D199" s="70" t="s">
        <v>361</v>
      </c>
      <c r="E199" s="44">
        <f t="shared" ref="E199:Q199" si="67">SUM(E14+E31+E45+E60+E77+E90+E106+E119+E134+E152+E161+E183+E190+E173)</f>
        <v>2362831957.3099999</v>
      </c>
      <c r="F199" s="44">
        <f t="shared" si="67"/>
        <v>1894102225.9399998</v>
      </c>
      <c r="G199" s="44">
        <f t="shared" si="67"/>
        <v>1037879814</v>
      </c>
      <c r="H199" s="44">
        <f t="shared" si="67"/>
        <v>93855914.090000004</v>
      </c>
      <c r="I199" s="44">
        <f t="shared" si="67"/>
        <v>461394549.74000001</v>
      </c>
      <c r="J199" s="44">
        <f t="shared" si="67"/>
        <v>405190817.02999997</v>
      </c>
      <c r="K199" s="44">
        <f t="shared" si="67"/>
        <v>294724205.72999996</v>
      </c>
      <c r="L199" s="44">
        <f t="shared" si="67"/>
        <v>78042580.859999999</v>
      </c>
      <c r="M199" s="44">
        <f t="shared" si="67"/>
        <v>9482400</v>
      </c>
      <c r="N199" s="44">
        <f t="shared" si="67"/>
        <v>2734300</v>
      </c>
      <c r="O199" s="44">
        <f t="shared" si="67"/>
        <v>327148236.17000002</v>
      </c>
      <c r="P199" s="44">
        <f t="shared" si="67"/>
        <v>0</v>
      </c>
      <c r="Q199" s="44">
        <f t="shared" si="67"/>
        <v>2768022774.3400002</v>
      </c>
    </row>
    <row r="200" spans="1:17" s="10" customFormat="1" ht="45" customHeight="1">
      <c r="A200" s="11"/>
      <c r="B200" s="12"/>
      <c r="C200" s="13"/>
      <c r="D200" s="14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</row>
    <row r="201" spans="1:17" s="36" customFormat="1" ht="327.75" customHeight="1">
      <c r="A201" s="82" t="s">
        <v>46</v>
      </c>
      <c r="B201" s="82"/>
      <c r="C201" s="82"/>
      <c r="D201" s="82"/>
      <c r="E201" s="82"/>
      <c r="F201" s="82"/>
      <c r="G201" s="82"/>
      <c r="H201" s="82"/>
      <c r="I201" s="73"/>
      <c r="J201" s="31"/>
      <c r="K201" s="31"/>
      <c r="L201" s="31"/>
      <c r="M201" s="31"/>
      <c r="N201" s="32" t="s">
        <v>325</v>
      </c>
      <c r="O201" s="33"/>
      <c r="P201" s="34"/>
      <c r="Q201" s="35"/>
    </row>
    <row r="202" spans="1:17" s="36" customFormat="1" ht="255" customHeight="1">
      <c r="A202" s="83" t="s">
        <v>480</v>
      </c>
      <c r="B202" s="83"/>
      <c r="C202" s="83"/>
      <c r="D202" s="83"/>
      <c r="E202" s="83"/>
      <c r="F202" s="83"/>
      <c r="G202" s="83"/>
      <c r="H202" s="83"/>
      <c r="I202" s="74"/>
      <c r="J202" s="37"/>
      <c r="K202" s="37"/>
      <c r="L202" s="37"/>
      <c r="M202" s="37"/>
      <c r="N202" s="81" t="s">
        <v>481</v>
      </c>
      <c r="O202" s="81"/>
      <c r="P202" s="38"/>
      <c r="Q202" s="39"/>
    </row>
    <row r="203" spans="1:17" ht="26.25">
      <c r="C203" s="18"/>
      <c r="E203" s="19"/>
      <c r="F203" s="19"/>
      <c r="G203" s="17"/>
      <c r="H203" s="17"/>
      <c r="I203" s="17"/>
      <c r="J203" s="17"/>
      <c r="K203" s="17"/>
      <c r="L203" s="17"/>
      <c r="M203" s="17"/>
      <c r="N203" s="17"/>
      <c r="O203" s="17"/>
      <c r="P203" s="17"/>
    </row>
    <row r="204" spans="1:17" ht="26.25">
      <c r="C204" s="18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</row>
    <row r="205" spans="1:17" ht="26.25">
      <c r="C205" s="18"/>
      <c r="D205" s="20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</row>
    <row r="206" spans="1:17" ht="26.25">
      <c r="C206" s="18"/>
      <c r="D206" s="20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</row>
    <row r="207" spans="1:17" ht="26.25">
      <c r="C207" s="18"/>
      <c r="D207" s="20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</row>
    <row r="208" spans="1:17" ht="26.25">
      <c r="C208" s="18"/>
      <c r="D208" s="20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</row>
    <row r="209" spans="3:17" ht="26.25">
      <c r="C209" s="18"/>
      <c r="D209" s="20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</row>
    <row r="210" spans="3:17" ht="26.25">
      <c r="C210" s="18"/>
      <c r="D210" s="20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</row>
    <row r="211" spans="3:17" ht="26.25">
      <c r="C211" s="18"/>
      <c r="D211" s="20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</row>
    <row r="212" spans="3:17">
      <c r="C212" s="21"/>
      <c r="D212" s="2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</row>
    <row r="213" spans="3:17">
      <c r="C213" s="21"/>
      <c r="D213" s="22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3:17">
      <c r="C214" s="21"/>
      <c r="D214" s="22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</row>
    <row r="215" spans="3:17">
      <c r="C215" s="21"/>
      <c r="D215" s="22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3:17">
      <c r="C216" s="21"/>
      <c r="D216" s="22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</row>
    <row r="217" spans="3:17">
      <c r="C217" s="21"/>
      <c r="D217" s="22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</row>
    <row r="218" spans="3:17">
      <c r="C218" s="21"/>
      <c r="D218" s="22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3:17">
      <c r="C219" s="21"/>
      <c r="D219" s="22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</row>
    <row r="220" spans="3:17">
      <c r="C220" s="21"/>
      <c r="D220" s="22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</row>
    <row r="221" spans="3:17">
      <c r="C221" s="21"/>
      <c r="D221" s="22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</row>
    <row r="222" spans="3:17">
      <c r="C222" s="21"/>
      <c r="D222" s="22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</row>
    <row r="223" spans="3:17">
      <c r="C223" s="21"/>
      <c r="D223" s="22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</row>
    <row r="224" spans="3:17">
      <c r="C224" s="21"/>
      <c r="D224" s="22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3:17">
      <c r="C225" s="21"/>
      <c r="D225" s="22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</row>
    <row r="226" spans="3:17">
      <c r="C226" s="21"/>
      <c r="D226" s="22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3:17">
      <c r="C227" s="21"/>
      <c r="D227" s="22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</row>
    <row r="228" spans="3:17">
      <c r="C228" s="21"/>
      <c r="D228" s="22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</row>
    <row r="229" spans="3:17">
      <c r="C229" s="21"/>
      <c r="D229" s="22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</row>
    <row r="230" spans="3:17">
      <c r="C230" s="21"/>
      <c r="D230" s="22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</row>
    <row r="231" spans="3:17">
      <c r="C231" s="21"/>
      <c r="D231" s="22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</row>
    <row r="232" spans="3:17">
      <c r="C232" s="21"/>
      <c r="D232" s="22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3:17">
      <c r="C233" s="21"/>
      <c r="D233" s="22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</row>
    <row r="234" spans="3:17">
      <c r="C234" s="21"/>
      <c r="D234" s="22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</row>
    <row r="235" spans="3:17">
      <c r="C235" s="21"/>
      <c r="D235" s="22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3:17">
      <c r="C236" s="21"/>
      <c r="D236" s="22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</row>
    <row r="237" spans="3:17">
      <c r="C237" s="21"/>
      <c r="D237" s="22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</row>
    <row r="238" spans="3:17">
      <c r="C238" s="21"/>
      <c r="D238" s="22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</row>
    <row r="239" spans="3:17">
      <c r="C239" s="21"/>
      <c r="D239" s="22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</row>
    <row r="240" spans="3:17">
      <c r="C240" s="21"/>
      <c r="D240" s="22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</row>
    <row r="241" spans="3:17">
      <c r="C241" s="21"/>
      <c r="D241" s="22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</row>
    <row r="242" spans="3:17">
      <c r="C242" s="21"/>
      <c r="D242" s="22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3:17">
      <c r="C243" s="21"/>
      <c r="D243" s="22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</row>
    <row r="244" spans="3:17">
      <c r="C244" s="21"/>
      <c r="D244" s="22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3:17">
      <c r="C245" s="21"/>
      <c r="D245" s="22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</row>
    <row r="246" spans="3:17">
      <c r="C246" s="21"/>
      <c r="D246" s="22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</row>
    <row r="247" spans="3:17">
      <c r="C247" s="21"/>
      <c r="D247" s="22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</row>
    <row r="248" spans="3:17">
      <c r="C248" s="21"/>
      <c r="D248" s="22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</row>
    <row r="249" spans="3:17">
      <c r="C249" s="21"/>
      <c r="D249" s="22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3:17">
      <c r="C250" s="21"/>
      <c r="D250" s="22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</row>
    <row r="251" spans="3:17">
      <c r="C251" s="21"/>
      <c r="D251" s="22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3:17">
      <c r="C252" s="21"/>
      <c r="D252" s="22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</row>
    <row r="253" spans="3:17">
      <c r="C253" s="21"/>
      <c r="D253" s="22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3:17">
      <c r="C254" s="21"/>
      <c r="D254" s="22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</row>
    <row r="255" spans="3:17">
      <c r="C255" s="21"/>
      <c r="D255" s="22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</row>
    <row r="256" spans="3:17">
      <c r="C256" s="21"/>
      <c r="D256" s="22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</row>
    <row r="257" spans="3:17">
      <c r="C257" s="21"/>
      <c r="D257" s="22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</row>
    <row r="258" spans="3:17">
      <c r="C258" s="21"/>
      <c r="D258" s="22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</row>
    <row r="259" spans="3:17">
      <c r="C259" s="21"/>
      <c r="D259" s="22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</row>
    <row r="260" spans="3:17">
      <c r="C260" s="21"/>
      <c r="D260" s="22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3:17">
      <c r="C261" s="21"/>
      <c r="D261" s="22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</row>
    <row r="262" spans="3:17">
      <c r="C262" s="21"/>
      <c r="D262" s="22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</row>
    <row r="263" spans="3:17">
      <c r="C263" s="21"/>
      <c r="D263" s="22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3:17">
      <c r="C264" s="21"/>
      <c r="D264" s="22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</row>
    <row r="265" spans="3:17">
      <c r="C265" s="21"/>
      <c r="D265" s="22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</row>
    <row r="266" spans="3:17">
      <c r="C266" s="21"/>
      <c r="D266" s="22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</row>
    <row r="267" spans="3:17">
      <c r="C267" s="21"/>
      <c r="D267" s="22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</row>
    <row r="268" spans="3:17">
      <c r="C268" s="21"/>
      <c r="D268" s="22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3:17">
      <c r="C269" s="21"/>
      <c r="D269" s="22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</row>
    <row r="270" spans="3:17">
      <c r="C270" s="21"/>
      <c r="D270" s="22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3:17">
      <c r="C271" s="21"/>
      <c r="D271" s="22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</row>
    <row r="272" spans="3:17">
      <c r="C272" s="21"/>
      <c r="D272" s="22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</row>
    <row r="273" spans="3:17">
      <c r="C273" s="21"/>
      <c r="D273" s="22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3:17">
      <c r="C274" s="21"/>
      <c r="D274" s="22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</row>
    <row r="275" spans="3:17">
      <c r="C275" s="21"/>
      <c r="D275" s="22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</row>
    <row r="276" spans="3:17">
      <c r="C276" s="21"/>
      <c r="D276" s="22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</row>
    <row r="277" spans="3:17">
      <c r="C277" s="21"/>
      <c r="D277" s="22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</row>
    <row r="278" spans="3:17">
      <c r="C278" s="21"/>
      <c r="D278" s="22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</row>
    <row r="279" spans="3:17">
      <c r="C279" s="21"/>
      <c r="D279" s="22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</row>
    <row r="280" spans="3:17">
      <c r="C280" s="21"/>
      <c r="D280" s="22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</row>
    <row r="281" spans="3:17">
      <c r="C281" s="21"/>
      <c r="D281" s="22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</row>
    <row r="282" spans="3:17">
      <c r="C282" s="21"/>
      <c r="D282" s="22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</row>
    <row r="283" spans="3:17">
      <c r="C283" s="21"/>
      <c r="D283" s="22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</row>
    <row r="284" spans="3:17">
      <c r="C284" s="21"/>
      <c r="D284" s="22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</row>
    <row r="285" spans="3:17">
      <c r="C285" s="21"/>
      <c r="D285" s="22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</row>
    <row r="286" spans="3:17">
      <c r="C286" s="21"/>
      <c r="D286" s="22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</row>
    <row r="287" spans="3:17">
      <c r="C287" s="21"/>
      <c r="D287" s="22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</row>
    <row r="288" spans="3:17">
      <c r="C288" s="21"/>
      <c r="D288" s="22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</row>
    <row r="289" spans="3:16">
      <c r="C289" s="21"/>
      <c r="D289" s="22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</row>
    <row r="290" spans="3:16">
      <c r="C290" s="21"/>
      <c r="D290" s="22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3:16">
      <c r="C291" s="21"/>
      <c r="D291" s="22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</row>
    <row r="292" spans="3:16">
      <c r="C292" s="21"/>
      <c r="D292" s="22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</row>
    <row r="293" spans="3:16">
      <c r="C293" s="21"/>
      <c r="D293" s="22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</row>
    <row r="294" spans="3:16">
      <c r="C294" s="21"/>
      <c r="D294" s="22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</row>
    <row r="295" spans="3:16">
      <c r="C295" s="21"/>
      <c r="D295" s="22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</row>
    <row r="296" spans="3:16">
      <c r="C296" s="21"/>
      <c r="D296" s="22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</row>
    <row r="297" spans="3:16">
      <c r="C297" s="21"/>
      <c r="D297" s="22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</row>
    <row r="298" spans="3:16">
      <c r="C298" s="21"/>
      <c r="D298" s="22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</row>
    <row r="299" spans="3:16">
      <c r="C299" s="21"/>
      <c r="D299" s="22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</row>
    <row r="300" spans="3:16">
      <c r="C300" s="23"/>
      <c r="D300" s="22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</row>
    <row r="301" spans="3:16">
      <c r="C301" s="23"/>
      <c r="D301" s="22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</row>
    <row r="302" spans="3:16">
      <c r="D302" s="22"/>
    </row>
    <row r="303" spans="3:16">
      <c r="D303" s="24"/>
    </row>
    <row r="304" spans="3:16">
      <c r="D304" s="24"/>
    </row>
    <row r="305" spans="4:4">
      <c r="D305" s="24"/>
    </row>
    <row r="306" spans="4:4">
      <c r="D306" s="24"/>
    </row>
    <row r="307" spans="4:4">
      <c r="D307" s="24"/>
    </row>
    <row r="308" spans="4:4">
      <c r="D308" s="24"/>
    </row>
    <row r="309" spans="4:4">
      <c r="D309" s="24"/>
    </row>
    <row r="310" spans="4:4">
      <c r="D310" s="24"/>
    </row>
    <row r="311" spans="4:4">
      <c r="D311" s="24"/>
    </row>
    <row r="312" spans="4:4">
      <c r="D312" s="24"/>
    </row>
    <row r="313" spans="4:4">
      <c r="D313" s="24"/>
    </row>
    <row r="314" spans="4:4">
      <c r="D314" s="24"/>
    </row>
    <row r="315" spans="4:4">
      <c r="D315" s="24"/>
    </row>
    <row r="316" spans="4:4">
      <c r="D316" s="24"/>
    </row>
    <row r="317" spans="4:4">
      <c r="D317" s="24"/>
    </row>
    <row r="318" spans="4:4">
      <c r="D318" s="24"/>
    </row>
    <row r="319" spans="4:4">
      <c r="D319" s="24"/>
    </row>
  </sheetData>
  <sheetProtection formatCells="0" formatColumns="0" formatRows="0" insertColumns="0" insertRows="0" insertHyperlinks="0" deleteColumns="0" deleteRows="0" sort="0" autoFilter="0" pivotTables="0"/>
  <customSheetViews>
    <customSheetView guid="{1D8128F6-B435-44FF-A037-9BD54EFEFDCB}" scale="33" showPageBreaks="1" zeroValues="0" printArea="1" showAutoFilter="1" hiddenColumns="1" view="pageBreakPreview" topLeftCell="A4">
      <pane xSplit="4" ySplit="9" topLeftCell="G171" activePane="bottomRight" state="frozen"/>
      <selection pane="bottomRight" activeCell="J10" sqref="J10:J12"/>
      <rowBreaks count="8" manualBreakCount="8">
        <brk id="20" max="16" man="1"/>
        <brk id="30" max="16" man="1"/>
        <brk id="41" max="16" man="1"/>
        <brk id="62" max="16" man="1"/>
        <brk id="71" max="16" man="1"/>
        <brk id="85" max="16" man="1"/>
        <brk id="94" max="16" man="1"/>
        <brk id="117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1"/>
      <headerFooter differentFirst="1" alignWithMargins="0">
        <oddHeader xml:space="preserve">&amp;R&amp;"Times New Roman,обычный"&amp;30
Продовження додатка 3              </oddHeader>
      </headerFooter>
      <autoFilter ref="A13:Q176"/>
    </customSheetView>
    <customSheetView guid="{BA4A7868-A59A-4BB8-AC85-B9766165ABB8}" scale="30" showPageBreaks="1" zeroValues="0" view="pageBreakPreview" topLeftCell="A4">
      <pane xSplit="8" ySplit="9" topLeftCell="I55" activePane="bottomRight" state="frozen"/>
      <selection pane="bottomRight" activeCell="K22" sqref="K22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2"/>
      <headerFooter differentFirst="1" alignWithMargins="0"/>
    </customSheetView>
    <customSheetView guid="{465BD29E-DF98-40C1-A448-521E1312C017}" scale="34" showPageBreaks="1" zeroValues="0" view="pageBreakPreview" topLeftCell="A4">
      <pane xSplit="8" ySplit="9" topLeftCell="I114" activePane="bottomRight" state="frozen"/>
      <selection pane="bottomRight" activeCell="F123" sqref="F123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3"/>
      <headerFooter differentFirst="1" alignWithMargins="0"/>
    </customSheetView>
    <customSheetView guid="{118ABD37-1ACF-4730-AF1D-1B75EE1E1D59}" scale="24" showPageBreaks="1" zeroValues="0" view="pageBreakPreview" topLeftCell="A4">
      <pane xSplit="8" ySplit="9" topLeftCell="I52" activePane="bottomRight" state="frozen"/>
      <selection pane="bottomRight" activeCell="A48" sqref="A48:Q61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4"/>
      <headerFooter differentFirst="1" alignWithMargins="0"/>
    </customSheetView>
    <customSheetView guid="{B643337A-0A3C-41C8-BB14-F2531B30DB6B}" scale="40" showPageBreaks="1" zeroValues="0" hiddenColumns="1" view="pageBreakPreview" topLeftCell="A4">
      <pane xSplit="8" ySplit="9" topLeftCell="I97" activePane="bottomRight" state="frozen"/>
      <selection pane="bottomRight" activeCell="F94" sqref="F94:F95"/>
      <rowBreaks count="11" manualBreakCount="11">
        <brk id="68" max="16" man="1"/>
        <brk id="85" max="16" man="1"/>
        <brk id="89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5"/>
      <headerFooter differentFirst="1" alignWithMargins="0"/>
    </customSheetView>
    <customSheetView guid="{72281E9A-1074-405D-BEC9-F19F3AAF08DD}" scale="30" showPageBreaks="1" zeroValues="0" hiddenColumns="1" view="pageBreakPreview" topLeftCell="A85">
      <selection activeCell="D88" sqref="D88"/>
      <rowBreaks count="6" manualBreakCount="6">
        <brk id="17" max="16" man="1"/>
        <brk id="48" max="16" man="1"/>
        <brk id="65" max="16383" man="1"/>
        <brk id="78" max="16" man="1"/>
        <brk id="83" max="16" man="1"/>
        <brk id="15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59055118110236227" right="0.39370078740157483" top="1.1811023622047245" bottom="0.78740157480314965" header="0" footer="0"/>
      <printOptions horizontalCentered="1"/>
      <pageSetup paperSize="9" scale="25" fitToHeight="15" orientation="landscape" verticalDpi="300" r:id="rId6"/>
      <headerFooter differentFirst="1" alignWithMargins="0"/>
    </customSheetView>
    <customSheetView guid="{82E690D4-F372-4835-869C-EC3BE48D04FF}" scale="33" zeroValues="0" hiddenColumns="1" topLeftCell="A4">
      <pane xSplit="8" ySplit="9" topLeftCell="I103" activePane="bottomRight" state="frozen"/>
      <selection pane="bottomRight" activeCell="E104" sqref="E104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landscape" verticalDpi="300" r:id="rId7"/>
      <headerFooter differentFirst="1" alignWithMargins="0"/>
    </customSheetView>
    <customSheetView guid="{55C3F4C1-780C-49F7-A5ED-38837E4BD0D2}" scale="40" showPageBreaks="1" zeroValues="0" hiddenColumns="1" view="pageBreakPreview" topLeftCell="A7">
      <pane xSplit="4" ySplit="6" topLeftCell="E158" activePane="bottomRight" state="frozen"/>
      <selection pane="bottomRight" activeCell="F159" sqref="F159"/>
      <rowBreaks count="13" manualBreakCount="13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67" max="16" man="1"/>
        <brk id="177" max="16383" man="1"/>
        <brk id="191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9" fitToHeight="15" orientation="landscape" verticalDpi="300" r:id="rId8"/>
      <headerFooter differentFirst="1" alignWithMargins="0"/>
    </customSheetView>
    <customSheetView guid="{6922F3C9-426B-40C5-BC7C-90FFDC39740C}" scale="40" showPageBreaks="1" zeroValues="0" hiddenColumns="1" view="pageBreakPreview" topLeftCell="A4">
      <pane xSplit="8" ySplit="9" topLeftCell="I47" activePane="bottomRight" state="frozen"/>
      <selection pane="bottomRight" activeCell="F48" sqref="F48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9"/>
      <headerFooter differentFirst="1" alignWithMargins="0"/>
    </customSheetView>
    <customSheetView guid="{DB6BF638-3672-4BA6-B91B-700477567FCC}" scale="69" showPageBreaks="1" zeroValues="0" printArea="1" hiddenColumns="1" view="pageBreakPreview" topLeftCell="A168">
      <selection activeCell="F170" sqref="F170"/>
      <rowBreaks count="13" manualBreakCount="13">
        <brk id="30" max="16" man="1"/>
        <brk id="41" max="16" man="1"/>
        <brk id="53" max="16" man="1"/>
        <brk id="84" max="16" man="1"/>
        <brk id="90" max="16" man="1"/>
        <brk id="96" max="16" man="1"/>
        <brk id="105" max="16" man="1"/>
        <brk id="120" max="16" man="1"/>
        <brk id="130" max="16" man="1"/>
        <brk id="142" max="16" man="1"/>
        <brk id="154" max="16" man="1"/>
        <brk id="165" max="16" man="1"/>
        <brk id="18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10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5D060DE1-CC13-45C6-B427-3A50E6447880}" scale="33" showPageBreaks="1" zeroValues="0" hiddenColumns="1" view="pageBreakPreview" topLeftCell="A4">
      <pane xSplit="8" ySplit="9" topLeftCell="J102" activePane="bottomRight" state="frozen"/>
      <selection pane="bottomRight" activeCell="A113" sqref="A113:D113"/>
      <rowBreaks count="11" manualBreakCount="11">
        <brk id="66" max="16" man="1"/>
        <brk id="83" max="16" man="1"/>
        <brk id="87" max="16" man="1"/>
        <brk id="94" max="16" man="1"/>
        <brk id="98" max="16383" man="1"/>
        <brk id="100" max="16383" man="1"/>
        <brk id="102" max="16383" man="1"/>
        <brk id="107" max="16" man="1"/>
        <brk id="189" max="16" man="1"/>
        <brk id="198" max="16" man="1"/>
        <brk id="23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11"/>
      <headerFooter differentFirst="1" alignWithMargins="0"/>
    </customSheetView>
    <customSheetView guid="{A5151744-FE8A-4DF9-B3B3-ED6499544881}" scale="57" showPageBreaks="1" zeroValues="0" hiddenColumns="1" topLeftCell="A7">
      <pane xSplit="4" ySplit="7" topLeftCell="E35" activePane="bottomRight" state="frozen"/>
      <selection pane="bottomRight" activeCell="D36" sqref="D36"/>
      <rowBreaks count="14" manualBreakCount="14">
        <brk id="37" max="16" man="1"/>
        <brk id="54" max="16383" man="1"/>
        <brk id="67" max="16383" man="1"/>
        <brk id="70" max="16" man="1"/>
        <brk id="87" max="16" man="1"/>
        <brk id="91" max="16" man="1"/>
        <brk id="98" max="16" man="1"/>
        <brk id="102" max="16383" man="1"/>
        <brk id="105" max="16383" man="1"/>
        <brk id="107" max="16383" man="1"/>
        <brk id="112" max="16" man="1"/>
        <brk id="194" max="16" man="1"/>
        <brk id="203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12"/>
      <headerFooter differentFirst="1" alignWithMargins="0"/>
    </customSheetView>
  </customSheetViews>
  <mergeCells count="30">
    <mergeCell ref="O1:Q1"/>
    <mergeCell ref="O2:Q2"/>
    <mergeCell ref="O3:Q3"/>
    <mergeCell ref="A5:Q5"/>
    <mergeCell ref="A9:A12"/>
    <mergeCell ref="A6:Q6"/>
    <mergeCell ref="D9:D12"/>
    <mergeCell ref="G11:G12"/>
    <mergeCell ref="C9:C12"/>
    <mergeCell ref="E9:I9"/>
    <mergeCell ref="K10:K12"/>
    <mergeCell ref="Q9:Q12"/>
    <mergeCell ref="J9:O9"/>
    <mergeCell ref="M10:N10"/>
    <mergeCell ref="N11:N12"/>
    <mergeCell ref="A7:C7"/>
    <mergeCell ref="A8:C8"/>
    <mergeCell ref="I10:I12"/>
    <mergeCell ref="N202:O202"/>
    <mergeCell ref="A201:H201"/>
    <mergeCell ref="H11:H12"/>
    <mergeCell ref="M11:M12"/>
    <mergeCell ref="A202:H202"/>
    <mergeCell ref="O10:O12"/>
    <mergeCell ref="B9:B12"/>
    <mergeCell ref="F10:F12"/>
    <mergeCell ref="G10:H10"/>
    <mergeCell ref="E10:E12"/>
    <mergeCell ref="J10:J12"/>
    <mergeCell ref="L10:L12"/>
  </mergeCells>
  <phoneticPr fontId="0" type="noConversion"/>
  <printOptions horizontalCentered="1"/>
  <pageMargins left="0.31496062992125984" right="0.59055118110236227" top="1.1811023622047245" bottom="0.78740157480314965" header="0" footer="0"/>
  <pageSetup paperSize="9" scale="21" fitToHeight="15" orientation="landscape" verticalDpi="300" r:id="rId13"/>
  <headerFooter differentFirst="1" alignWithMargins="0">
    <oddHeader xml:space="preserve">&amp;R&amp;"Times New Roman,обычный"&amp;30
Продовження додатка 3              </oddHeader>
  </headerFooter>
  <colBreaks count="6" manualBreakCount="6">
    <brk id="44" max="191" man="1"/>
    <brk id="79" max="191" man="1"/>
    <brk id="114" max="191" man="1"/>
    <brk id="149" max="191" man="1"/>
    <brk id="184" max="191" man="1"/>
    <brk id="219" max="1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2020</vt:lpstr>
      <vt:lpstr>'бюджет 2020'!Заголовки_для_печати</vt:lpstr>
      <vt:lpstr>'бюджет 2020'!Область_печати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Свіцельська Ірина</dc:creator>
  <cp:lastModifiedBy>ukr</cp:lastModifiedBy>
  <cp:lastPrinted>2020-09-14T12:37:01Z</cp:lastPrinted>
  <dcterms:created xsi:type="dcterms:W3CDTF">2018-06-12T07:38:27Z</dcterms:created>
  <dcterms:modified xsi:type="dcterms:W3CDTF">2020-09-14T12:41:37Z</dcterms:modified>
</cp:coreProperties>
</file>