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13" i="1" l="1"/>
  <c r="J13" i="1"/>
  <c r="L42" i="1"/>
  <c r="K42" i="1"/>
  <c r="J42" i="1"/>
  <c r="I42" i="1"/>
  <c r="G42" i="1"/>
  <c r="J27" i="1"/>
  <c r="K27" i="1"/>
  <c r="J23" i="1"/>
  <c r="L23" i="1"/>
  <c r="K23" i="1"/>
  <c r="L18" i="1"/>
  <c r="J18" i="1"/>
  <c r="K18" i="1"/>
  <c r="I45" i="1"/>
  <c r="I44" i="1"/>
  <c r="I43" i="1"/>
  <c r="I18" i="1"/>
  <c r="H18" i="1"/>
  <c r="G18" i="1"/>
  <c r="H45" i="1" l="1"/>
  <c r="G45" i="1"/>
  <c r="F45" i="1"/>
  <c r="E45" i="1"/>
  <c r="H44" i="1"/>
  <c r="G44" i="1"/>
  <c r="F44" i="1"/>
  <c r="E44" i="1"/>
  <c r="H43" i="1"/>
  <c r="G43" i="1"/>
  <c r="F43" i="1"/>
  <c r="E43" i="1"/>
  <c r="H42" i="1"/>
  <c r="F42" i="1"/>
  <c r="G39" i="1"/>
  <c r="G36" i="1"/>
  <c r="L28" i="1"/>
  <c r="H28" i="1"/>
  <c r="G28" i="1"/>
  <c r="F28" i="1"/>
  <c r="H27" i="1"/>
  <c r="L26" i="1"/>
  <c r="L25" i="1"/>
  <c r="L24" i="1"/>
  <c r="L22" i="1"/>
  <c r="K22" i="1"/>
  <c r="J22" i="1"/>
  <c r="I22" i="1"/>
  <c r="H22" i="1"/>
  <c r="G22" i="1"/>
  <c r="F22" i="1"/>
  <c r="L19" i="1"/>
  <c r="K19" i="1"/>
  <c r="J19" i="1"/>
  <c r="I19" i="1"/>
  <c r="H19" i="1"/>
  <c r="G19" i="1"/>
  <c r="F18" i="1"/>
  <c r="F19" i="1" s="1"/>
  <c r="L17" i="1"/>
  <c r="K17" i="1"/>
  <c r="J17" i="1"/>
  <c r="I17" i="1"/>
  <c r="H17" i="1"/>
  <c r="G17" i="1"/>
  <c r="F17" i="1"/>
  <c r="E17" i="1"/>
  <c r="I16" i="1"/>
  <c r="J16" i="1" s="1"/>
  <c r="H16" i="1"/>
  <c r="G16" i="1"/>
  <c r="F16" i="1"/>
  <c r="E16" i="1"/>
  <c r="L12" i="1"/>
  <c r="K12" i="1"/>
  <c r="J12" i="1"/>
  <c r="I12" i="1"/>
  <c r="H12" i="1"/>
  <c r="G12" i="1"/>
  <c r="F12" i="1"/>
  <c r="E12" i="1"/>
  <c r="L9" i="1"/>
  <c r="K9" i="1"/>
  <c r="J9" i="1"/>
  <c r="I9" i="1"/>
  <c r="G9" i="1"/>
  <c r="F9" i="1"/>
  <c r="E9" i="1"/>
  <c r="H6" i="1"/>
  <c r="H9" i="1" s="1"/>
  <c r="H21" i="1" l="1"/>
  <c r="F21" i="1"/>
  <c r="F20" i="1"/>
  <c r="G20" i="1"/>
  <c r="I20" i="1"/>
  <c r="K20" i="1"/>
  <c r="J21" i="1"/>
  <c r="K16" i="1"/>
  <c r="H20" i="1"/>
  <c r="J20" i="1"/>
  <c r="L20" i="1"/>
  <c r="G21" i="1"/>
  <c r="I21" i="1"/>
  <c r="L15" i="1" l="1"/>
  <c r="L16" i="1" s="1"/>
  <c r="L21" i="1" s="1"/>
  <c r="K21" i="1"/>
</calcChain>
</file>

<file path=xl/sharedStrings.xml><?xml version="1.0" encoding="utf-8"?>
<sst xmlns="http://schemas.openxmlformats.org/spreadsheetml/2006/main" count="113" uniqueCount="92">
  <si>
    <t xml:space="preserve">                                                    </t>
  </si>
  <si>
    <t>Додаток 3
     до Програми</t>
  </si>
  <si>
    <t>ПОКАЗНИКИ РЕЗУЛЬТАТИВНОСТІ ПРОГРАМИ</t>
  </si>
  <si>
    <t>Назва показника</t>
  </si>
  <si>
    <t>Показник</t>
  </si>
  <si>
    <t>Одиниця
 виміру</t>
  </si>
  <si>
    <t>Вихідні дані на початок дії програми</t>
  </si>
  <si>
    <t>Значення показника</t>
  </si>
  <si>
    <t>У тому числі за роками</t>
  </si>
  <si>
    <t>І. Показники затрат:</t>
  </si>
  <si>
    <t>тис.грн.</t>
  </si>
  <si>
    <t xml:space="preserve">кількість світлофорних об'єктів 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</si>
  <si>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</si>
  <si>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</si>
  <si>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</si>
  <si>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 xml:space="preserve">кількість дорожніх знаків в місті </t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</si>
  <si>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</si>
  <si>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</si>
  <si>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</si>
  <si>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</si>
  <si>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</si>
  <si>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</si>
  <si>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</si>
  <si>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</si>
  <si>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</si>
  <si>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</si>
  <si>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</si>
  <si>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Кількість викидів СО2 при виробленні електроенергії для роботи світлофорних об'єктів</t>
  </si>
  <si>
    <t>тонн</t>
  </si>
  <si>
    <t>Зниження викидів СО2 до значення базового 2017р. (рівень викидів складав 354,34т )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</si>
  <si>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електороенергії одним перехрестям, обладн. світлофором порівняно з попереднім роком
</t>
    </r>
  </si>
  <si>
    <t>%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</si>
  <si>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 в кВт) електроенергії на роботу 1перехр., обладн. світлоф. ;</t>
    </r>
  </si>
  <si>
    <r>
      <t xml:space="preserve"> ̶  </t>
    </r>
    <r>
      <rPr>
        <sz val="13"/>
        <color indexed="8"/>
        <rFont val="Times New Roman"/>
        <family val="1"/>
        <charset val="204"/>
      </rPr>
      <t xml:space="preserve">темп приросту (зменшення) витрат (в грошах) на електроенергію (базовий рік для порівняння 2017р. 402664кВт, 1106675,84грн.). 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</si>
  <si>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 xml:space="preserve">обсяг видатків на  виготовлення 1cек. (6 м.п.) металевого огородження </t>
    </r>
    <r>
      <rPr>
        <b/>
        <sz val="13"/>
        <color rgb="FF000000"/>
        <rFont val="Times New Roman"/>
        <family val="1"/>
        <charset val="204"/>
      </rPr>
      <t xml:space="preserve">
</t>
    </r>
  </si>
  <si>
    <t>обсяг видатків на ремонт (заміну/встановлення) 1м металевого огородження та велопарковок</t>
  </si>
  <si>
    <t>обсяг видатків на фарбування/ремонт 1м металевого огородження</t>
  </si>
  <si>
    <t>загальний обсяг видатків на  утримання, обслуговування турнікетного огородження та велопарковок</t>
  </si>
  <si>
    <t xml:space="preserve">тис. грн.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</si>
  <si>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 пофарбувати, замінити/відремонтувати та виготовити металевого огородження та велопарковок
</t>
    </r>
  </si>
  <si>
    <t>м</t>
  </si>
  <si>
    <t>елемент</t>
  </si>
  <si>
    <t xml:space="preserve">
452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</si>
  <si>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−кількість стовпчиків, що планується  встановити 
−кількість протитаранних стовпчиків (стаціонарних болардів), що планується встановити 
−кількість "напівсферичних куль", що планується встановити </t>
    </r>
  </si>
  <si>
    <t xml:space="preserve">
шт.
шт.
шт.</t>
  </si>
  <si>
    <t xml:space="preserve">
142
96</t>
  </si>
  <si>
    <t xml:space="preserve">
176
0
100</t>
  </si>
  <si>
    <t xml:space="preserve">
149
0
157</t>
  </si>
  <si>
    <t xml:space="preserve">
100
50
260</t>
  </si>
  <si>
    <t xml:space="preserve">
55
7
260</t>
  </si>
  <si>
    <t xml:space="preserve">
50
5
100</t>
  </si>
  <si>
    <t>−напівсферична куля</t>
  </si>
  <si>
    <t xml:space="preserve">грн.
</t>
  </si>
  <si>
    <t xml:space="preserve">
</t>
  </si>
  <si>
    <t xml:space="preserve">150,00
</t>
  </si>
  <si>
    <t xml:space="preserve">150,00
</t>
  </si>
  <si>
    <t>км</t>
  </si>
  <si>
    <t>м кв.</t>
  </si>
  <si>
    <t>загальна протяжність дорожньої розмітки, що потребує оновлення разом в  м кв.</t>
  </si>
  <si>
    <t>загальний обсяг видатків для нанесення дорожньої розмітки, що планується влаштувати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</si>
  <si>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 xml:space="preserve">загальна протяжність горизонтальної дорожньої розмітки 1.1, 1.2,1.3,1.6 що планується влаштувати
</t>
    </r>
    <r>
      <rPr>
        <b/>
        <sz val="13"/>
        <color rgb="FF000000"/>
        <rFont val="Times New Roman"/>
        <family val="1"/>
        <charset val="204"/>
      </rPr>
      <t xml:space="preserve">
</t>
    </r>
  </si>
  <si>
    <t>загальна площа горизонтальної дорожньої розмітки 1.12, 1.13, 1.14.2, 1.14.4-1.14.6, що планується влаштувати</t>
  </si>
  <si>
    <t>загальна протяжність горизонтальної дорожньої розмітки, що планується влаштувати разом в м кв.</t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</si>
  <si>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>Середі видатки на  нанесення 1 км дорожньої розмітки</t>
    </r>
  </si>
  <si>
    <t xml:space="preserve">Середні видатки на  нанесення 1 м кв. дорожньої розмітки </t>
  </si>
  <si>
    <r>
      <rPr>
        <b/>
        <sz val="13"/>
        <color rgb="FF000000"/>
        <rFont val="Times New Roman"/>
        <family val="1"/>
        <charset val="204"/>
      </rP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оновленої  дорожньої розмітки до загальної  потреби 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</si>
  <si>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</si>
  <si>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</si>
  <si>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од.</t>
  </si>
  <si>
    <t>Кількість травмованих у ДТП за 12 місяців на 100 тис. населення</t>
  </si>
  <si>
    <t>осіб</t>
  </si>
  <si>
    <t>Кількість загиблих у ДТП за 12 місяців на 100 тис. населення</t>
  </si>
  <si>
    <t>Секретар міської ради</t>
  </si>
  <si>
    <t>Віктор КЛІМІНСЬКИЙ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</si>
  <si>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</si>
  <si>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</si>
  <si>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</si>
  <si>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</si>
  <si>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</si>
  <si>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t xml:space="preserve">IІІ. Показник ефективності:
</t>
    </r>
    <r>
      <rPr>
        <b/>
        <sz val="13"/>
        <color theme="1"/>
        <rFont val="Times New Roman"/>
        <family val="1"/>
        <charset val="204"/>
      </rPr>
      <t xml:space="preserve">середні видатки на  влаштування/демонтаж одного антипаркувального пристрою:
 </t>
    </r>
    <r>
      <rPr>
        <sz val="13"/>
        <color theme="1"/>
        <rFont val="Times New Roman"/>
        <family val="1"/>
        <charset val="204"/>
      </rPr>
      <t xml:space="preserve">−стовпчик 
</t>
    </r>
    <r>
      <rPr>
        <b/>
        <sz val="13"/>
        <color theme="1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rgb="FF000000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</si>
  <si>
    <t>Микола ЄРМАКОВ</t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</si>
  <si>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обсяг видатків на встановлення та демонтаж 1 елементу засобу заспокоєння дорожнього руху</t>
    </r>
  </si>
  <si>
    <t xml:space="preserve">загальна кількість засобів заспокоєння дорожнього руху (влаштування та демонтаж)
</t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</si>
  <si>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</si>
  <si>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1.6.</t>
    </r>
    <r>
      <rPr>
        <sz val="13"/>
        <rFont val="Times New Roman"/>
        <family val="1"/>
        <charset val="204"/>
      </rPr>
      <t xml:space="preserve"> Утримання та обслуговування засобів заспокоєння дорожнього руху,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</si>
  <si>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 xml:space="preserve">1.7. </t>
    </r>
    <r>
      <rPr>
        <sz val="13"/>
        <rFont val="Times New Roman"/>
        <family val="1"/>
        <charset val="204"/>
      </rPr>
      <t xml:space="preserve">Утримання, обслуговування антипаркувальних пристроїв, інші роботи пов’язані з їх належною експлуатацією:
- стовпчики, боларди
- "напівсферичні кулі" 
</t>
    </r>
  </si>
  <si>
    <r>
      <rPr>
        <b/>
        <sz val="13"/>
        <rFont val="Times New Roman"/>
        <family val="1"/>
        <charset val="204"/>
      </rPr>
      <t>1.8.</t>
    </r>
    <r>
      <rPr>
        <sz val="13"/>
        <rFont val="Times New Roman"/>
        <family val="1"/>
        <charset val="204"/>
      </rPr>
      <t xml:space="preserve"> Нанесення  дорожньої розмітки</t>
    </r>
  </si>
  <si>
    <t xml:space="preserve">
В.о. начальника управління 
транспорту і зв`язку міської ради</t>
  </si>
  <si>
    <t xml:space="preserve"> </t>
  </si>
  <si>
    <t xml:space="preserve">
60
0
100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</si>
  <si>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протяжність дорожньої розмітки</t>
    </r>
  </si>
  <si>
    <t>загальна площа дорожньої розмітки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</si>
</sst>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0"/>
    <numFmt numFmtId="166" formatCode="0.0"/>
    <numFmt numFmtId="167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6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top" wrapText="1"/>
    </xf>
    <xf numFmtId="0" fontId="7" fillId="2" borderId="2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 wrapText="1"/>
    </xf>
    <xf numFmtId="3" fontId="7" fillId="0" borderId="25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2" fontId="7" fillId="0" borderId="24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24" xfId="0" applyFont="1" applyFill="1" applyBorder="1" applyAlignment="1">
      <alignment horizontal="center" vertical="center"/>
    </xf>
    <xf numFmtId="4" fontId="7" fillId="2" borderId="24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top" wrapText="1"/>
    </xf>
    <xf numFmtId="164" fontId="7" fillId="0" borderId="14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 wrapText="1"/>
    </xf>
    <xf numFmtId="165" fontId="7" fillId="0" borderId="3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7" fillId="3" borderId="25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" fontId="7" fillId="0" borderId="2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166" fontId="7" fillId="0" borderId="10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vertical="top" wrapText="1"/>
    </xf>
    <xf numFmtId="0" fontId="7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167" fontId="7" fillId="0" borderId="21" xfId="0" applyNumberFormat="1" applyFont="1" applyBorder="1" applyAlignment="1">
      <alignment horizontal="center" vertical="center"/>
    </xf>
    <xf numFmtId="167" fontId="7" fillId="0" borderId="32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33" xfId="0" applyFont="1" applyBorder="1" applyAlignment="1">
      <alignment vertical="top" wrapText="1"/>
    </xf>
    <xf numFmtId="2" fontId="8" fillId="0" borderId="35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2" fontId="8" fillId="0" borderId="34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3" fontId="8" fillId="0" borderId="34" xfId="0" applyNumberFormat="1" applyFont="1" applyBorder="1" applyAlignment="1">
      <alignment horizontal="center" vertical="center" wrapText="1"/>
    </xf>
    <xf numFmtId="3" fontId="8" fillId="0" borderId="3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center" vertical="center" wrapText="1"/>
    </xf>
    <xf numFmtId="4" fontId="8" fillId="0" borderId="35" xfId="0" applyNumberFormat="1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/>
    </xf>
    <xf numFmtId="0" fontId="8" fillId="0" borderId="38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2" fontId="8" fillId="0" borderId="35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31" xfId="0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left" vertical="top" wrapText="1"/>
    </xf>
    <xf numFmtId="0" fontId="4" fillId="0" borderId="39" xfId="0" applyFont="1" applyBorder="1" applyAlignment="1">
      <alignment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center" wrapText="1"/>
    </xf>
    <xf numFmtId="0" fontId="8" fillId="0" borderId="3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166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8" fillId="0" borderId="3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10" xfId="0" applyFont="1" applyBorder="1" applyAlignment="1">
      <alignment horizontal="left" vertical="top" wrapText="1"/>
    </xf>
    <xf numFmtId="2" fontId="2" fillId="0" borderId="17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0" xfId="0" applyFont="1" applyBorder="1"/>
    <xf numFmtId="0" fontId="4" fillId="0" borderId="23" xfId="0" applyFont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3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2" fontId="8" fillId="3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1" fillId="0" borderId="3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wrapText="1"/>
    </xf>
    <xf numFmtId="0" fontId="8" fillId="0" borderId="1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3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21" xfId="0" applyNumberFormat="1" applyFont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21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center" vertical="center"/>
    </xf>
    <xf numFmtId="4" fontId="7" fillId="2" borderId="2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tabSelected="1" view="pageLayout" zoomScaleNormal="100" workbookViewId="0">
      <selection activeCell="P45" sqref="P45"/>
    </sheetView>
  </sheetViews>
  <sheetFormatPr defaultRowHeight="15" x14ac:dyDescent="0.25"/>
  <cols>
    <col min="3" max="3" width="29.85546875" customWidth="1"/>
    <col min="4" max="4" width="11.28515625" customWidth="1"/>
    <col min="5" max="5" width="17.140625" customWidth="1"/>
    <col min="6" max="6" width="10.85546875" bestFit="1" customWidth="1"/>
    <col min="7" max="8" width="10.140625" bestFit="1" customWidth="1"/>
    <col min="9" max="9" width="10.85546875" bestFit="1" customWidth="1"/>
    <col min="10" max="10" width="11.28515625" customWidth="1"/>
    <col min="11" max="11" width="9.5703125" bestFit="1" customWidth="1"/>
    <col min="12" max="12" width="10.5703125" customWidth="1"/>
    <col min="16" max="16" width="10.7109375" customWidth="1"/>
  </cols>
  <sheetData>
    <row r="1" spans="1:26" ht="43.5" customHeight="1" x14ac:dyDescent="0.3">
      <c r="A1" s="1"/>
      <c r="B1" s="1"/>
      <c r="C1" s="2"/>
      <c r="D1" s="3"/>
      <c r="E1" s="4"/>
      <c r="F1" s="188" t="s">
        <v>0</v>
      </c>
      <c r="G1" s="188"/>
      <c r="H1" s="188"/>
      <c r="I1" s="188"/>
      <c r="J1" s="188"/>
      <c r="K1" s="189" t="s">
        <v>1</v>
      </c>
      <c r="L1" s="190"/>
    </row>
    <row r="2" spans="1:26" ht="16.5" x14ac:dyDescent="0.25">
      <c r="A2" s="191" t="s">
        <v>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26" ht="16.5" x14ac:dyDescent="0.25">
      <c r="A3" s="192" t="s">
        <v>3</v>
      </c>
      <c r="B3" s="193"/>
      <c r="C3" s="196" t="s">
        <v>4</v>
      </c>
      <c r="D3" s="199" t="s">
        <v>5</v>
      </c>
      <c r="E3" s="192" t="s">
        <v>6</v>
      </c>
      <c r="F3" s="204" t="s">
        <v>7</v>
      </c>
      <c r="G3" s="204"/>
      <c r="H3" s="204"/>
      <c r="I3" s="204"/>
      <c r="J3" s="204"/>
      <c r="K3" s="204"/>
      <c r="L3" s="204"/>
    </row>
    <row r="4" spans="1:26" ht="16.5" x14ac:dyDescent="0.25">
      <c r="A4" s="194"/>
      <c r="B4" s="195"/>
      <c r="C4" s="197"/>
      <c r="D4" s="200"/>
      <c r="E4" s="202"/>
      <c r="F4" s="204" t="s">
        <v>8</v>
      </c>
      <c r="G4" s="204"/>
      <c r="H4" s="204"/>
      <c r="I4" s="204"/>
      <c r="J4" s="204"/>
      <c r="K4" s="204"/>
      <c r="L4" s="204"/>
    </row>
    <row r="5" spans="1:26" ht="16.5" x14ac:dyDescent="0.25">
      <c r="A5" s="194"/>
      <c r="B5" s="195"/>
      <c r="C5" s="198"/>
      <c r="D5" s="201"/>
      <c r="E5" s="203"/>
      <c r="F5" s="5">
        <v>2018</v>
      </c>
      <c r="G5" s="5">
        <v>2019</v>
      </c>
      <c r="H5" s="6">
        <v>2020</v>
      </c>
      <c r="I5" s="134">
        <v>2021</v>
      </c>
      <c r="J5" s="134">
        <v>2022</v>
      </c>
      <c r="K5" s="134">
        <v>2023</v>
      </c>
      <c r="L5" s="135">
        <v>2024</v>
      </c>
    </row>
    <row r="6" spans="1:26" ht="16.5" x14ac:dyDescent="0.25">
      <c r="A6" s="176" t="s">
        <v>75</v>
      </c>
      <c r="B6" s="177"/>
      <c r="C6" s="7" t="s">
        <v>9</v>
      </c>
      <c r="D6" s="8"/>
      <c r="E6" s="182">
        <v>1567.6</v>
      </c>
      <c r="F6" s="184">
        <v>2715</v>
      </c>
      <c r="G6" s="184">
        <v>2475</v>
      </c>
      <c r="H6" s="186">
        <f>2903.89+600</f>
        <v>3503.89</v>
      </c>
      <c r="I6" s="166">
        <v>3644</v>
      </c>
      <c r="J6" s="164">
        <v>3911.12</v>
      </c>
      <c r="K6" s="166">
        <v>3831</v>
      </c>
      <c r="L6" s="168">
        <v>4022.55</v>
      </c>
    </row>
    <row r="7" spans="1:26" ht="74.25" customHeight="1" x14ac:dyDescent="0.25">
      <c r="A7" s="178"/>
      <c r="B7" s="179"/>
      <c r="C7" s="9" t="s">
        <v>74</v>
      </c>
      <c r="D7" s="10" t="s">
        <v>10</v>
      </c>
      <c r="E7" s="183"/>
      <c r="F7" s="185"/>
      <c r="G7" s="185"/>
      <c r="H7" s="187"/>
      <c r="I7" s="167"/>
      <c r="J7" s="165"/>
      <c r="K7" s="167"/>
      <c r="L7" s="168"/>
    </row>
    <row r="8" spans="1:26" ht="33" x14ac:dyDescent="0.25">
      <c r="A8" s="178"/>
      <c r="B8" s="179"/>
      <c r="C8" s="11" t="s">
        <v>11</v>
      </c>
      <c r="D8" s="3" t="s">
        <v>12</v>
      </c>
      <c r="E8" s="12">
        <v>112</v>
      </c>
      <c r="F8" s="13">
        <v>113</v>
      </c>
      <c r="G8" s="13">
        <v>115</v>
      </c>
      <c r="H8" s="14">
        <v>116</v>
      </c>
      <c r="I8" s="15">
        <v>117</v>
      </c>
      <c r="J8" s="138">
        <v>118</v>
      </c>
      <c r="K8" s="139">
        <v>118</v>
      </c>
      <c r="L8" s="48">
        <v>119</v>
      </c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</row>
    <row r="9" spans="1:26" ht="91.5" customHeight="1" x14ac:dyDescent="0.25">
      <c r="A9" s="180"/>
      <c r="B9" s="181"/>
      <c r="C9" s="128" t="s">
        <v>76</v>
      </c>
      <c r="D9" s="17" t="s">
        <v>13</v>
      </c>
      <c r="E9" s="18">
        <f t="shared" ref="E9:J9" si="0">E6/E8</f>
        <v>13.99642857142857</v>
      </c>
      <c r="F9" s="19">
        <f t="shared" si="0"/>
        <v>24.026548672566371</v>
      </c>
      <c r="G9" s="19">
        <f t="shared" si="0"/>
        <v>21.521739130434781</v>
      </c>
      <c r="H9" s="20">
        <f t="shared" si="0"/>
        <v>30.205948275862067</v>
      </c>
      <c r="I9" s="21">
        <f t="shared" si="0"/>
        <v>31.145299145299145</v>
      </c>
      <c r="J9" s="21">
        <f t="shared" si="0"/>
        <v>33.145084745762709</v>
      </c>
      <c r="K9" s="22">
        <f>K6/K8</f>
        <v>32.466101694915253</v>
      </c>
      <c r="L9" s="42">
        <f>L6/L8</f>
        <v>33.80294117647059</v>
      </c>
    </row>
    <row r="10" spans="1:26" ht="87" customHeight="1" x14ac:dyDescent="0.25">
      <c r="A10" s="169" t="s">
        <v>77</v>
      </c>
      <c r="B10" s="169"/>
      <c r="C10" s="23" t="s">
        <v>14</v>
      </c>
      <c r="D10" s="24" t="s">
        <v>10</v>
      </c>
      <c r="E10" s="18">
        <v>622.29999999999995</v>
      </c>
      <c r="F10" s="25">
        <v>1580.49</v>
      </c>
      <c r="G10" s="25">
        <v>1605.03</v>
      </c>
      <c r="H10" s="20">
        <v>1624.67</v>
      </c>
      <c r="I10" s="21">
        <v>1941</v>
      </c>
      <c r="J10" s="21">
        <v>2070.4</v>
      </c>
      <c r="K10" s="22">
        <v>2338</v>
      </c>
      <c r="L10" s="84">
        <v>2454.9</v>
      </c>
    </row>
    <row r="11" spans="1:26" ht="45" customHeight="1" x14ac:dyDescent="0.25">
      <c r="A11" s="169"/>
      <c r="B11" s="169"/>
      <c r="C11" s="26" t="s">
        <v>15</v>
      </c>
      <c r="D11" s="27" t="s">
        <v>16</v>
      </c>
      <c r="E11" s="13">
        <v>3960</v>
      </c>
      <c r="F11" s="13">
        <v>4080</v>
      </c>
      <c r="G11" s="13">
        <v>4140</v>
      </c>
      <c r="H11" s="14">
        <v>4621</v>
      </c>
      <c r="I11" s="15">
        <v>5021</v>
      </c>
      <c r="J11" s="15">
        <v>5707</v>
      </c>
      <c r="K11" s="15">
        <v>6237</v>
      </c>
      <c r="L11" s="15">
        <v>6737</v>
      </c>
      <c r="P11" s="150"/>
      <c r="Q11" s="150"/>
      <c r="R11" s="150"/>
      <c r="S11" s="150"/>
    </row>
    <row r="12" spans="1:26" ht="87" customHeight="1" x14ac:dyDescent="0.25">
      <c r="A12" s="169"/>
      <c r="B12" s="169"/>
      <c r="C12" s="28" t="s">
        <v>17</v>
      </c>
      <c r="D12" s="8" t="s">
        <v>18</v>
      </c>
      <c r="E12" s="29">
        <f t="shared" ref="E12:K12" si="1">E10/E11</f>
        <v>0.15714646464646465</v>
      </c>
      <c r="F12" s="30">
        <f t="shared" si="1"/>
        <v>0.38737500000000002</v>
      </c>
      <c r="G12" s="30">
        <f t="shared" si="1"/>
        <v>0.38768840579710145</v>
      </c>
      <c r="H12" s="31">
        <f t="shared" si="1"/>
        <v>0.3515840727115343</v>
      </c>
      <c r="I12" s="21">
        <f t="shared" si="1"/>
        <v>0.38657637920732923</v>
      </c>
      <c r="J12" s="21">
        <f t="shared" si="1"/>
        <v>0.3627825477483792</v>
      </c>
      <c r="K12" s="21">
        <f t="shared" si="1"/>
        <v>0.37485970819304154</v>
      </c>
      <c r="L12" s="54">
        <f>L10/L11</f>
        <v>0.36439067834347633</v>
      </c>
    </row>
    <row r="13" spans="1:26" ht="88.5" customHeight="1" x14ac:dyDescent="0.25">
      <c r="A13" s="169"/>
      <c r="B13" s="169"/>
      <c r="C13" s="32" t="s">
        <v>19</v>
      </c>
      <c r="D13" s="33" t="s">
        <v>20</v>
      </c>
      <c r="E13" s="34">
        <v>2642</v>
      </c>
      <c r="F13" s="35">
        <v>2933</v>
      </c>
      <c r="G13" s="35">
        <v>3255</v>
      </c>
      <c r="H13" s="36">
        <v>3613</v>
      </c>
      <c r="I13" s="21">
        <v>3650</v>
      </c>
      <c r="J13" s="143">
        <f>960+60+700+1900</f>
        <v>3620</v>
      </c>
      <c r="K13" s="21">
        <f>990+75+900+2000</f>
        <v>3965</v>
      </c>
      <c r="L13" s="54">
        <v>4000</v>
      </c>
      <c r="M13" t="s">
        <v>88</v>
      </c>
      <c r="O13" s="146"/>
      <c r="P13" s="146"/>
    </row>
    <row r="14" spans="1:26" ht="89.25" customHeight="1" x14ac:dyDescent="0.25">
      <c r="A14" s="170" t="s">
        <v>78</v>
      </c>
      <c r="B14" s="171"/>
      <c r="C14" s="37" t="s">
        <v>21</v>
      </c>
      <c r="D14" s="38" t="s">
        <v>18</v>
      </c>
      <c r="E14" s="39">
        <v>1106.68</v>
      </c>
      <c r="F14" s="40">
        <v>1044.3900000000001</v>
      </c>
      <c r="G14" s="40">
        <v>996.57</v>
      </c>
      <c r="H14" s="41">
        <v>545</v>
      </c>
      <c r="I14" s="21">
        <v>640</v>
      </c>
      <c r="J14" s="21">
        <v>1299</v>
      </c>
      <c r="K14" s="42">
        <v>1507</v>
      </c>
      <c r="L14" s="43">
        <v>1582.35</v>
      </c>
    </row>
    <row r="15" spans="1:26" ht="86.25" customHeight="1" x14ac:dyDescent="0.25">
      <c r="A15" s="172"/>
      <c r="B15" s="172"/>
      <c r="C15" s="44" t="s">
        <v>22</v>
      </c>
      <c r="D15" s="12" t="s">
        <v>23</v>
      </c>
      <c r="E15" s="45">
        <v>402664</v>
      </c>
      <c r="F15" s="46">
        <v>337280</v>
      </c>
      <c r="G15" s="46">
        <v>323667</v>
      </c>
      <c r="H15" s="47">
        <v>187321</v>
      </c>
      <c r="I15" s="48">
        <v>170498</v>
      </c>
      <c r="J15" s="48">
        <v>136000</v>
      </c>
      <c r="K15" s="49">
        <v>170500</v>
      </c>
      <c r="L15" s="50">
        <f>K16*L8</f>
        <v>171944.91525423728</v>
      </c>
      <c r="N15" s="144"/>
      <c r="O15" s="144"/>
      <c r="P15" s="144"/>
    </row>
    <row r="16" spans="1:26" ht="87" customHeight="1" x14ac:dyDescent="0.25">
      <c r="A16" s="172"/>
      <c r="B16" s="173"/>
      <c r="C16" s="51" t="s">
        <v>24</v>
      </c>
      <c r="D16" s="17" t="s">
        <v>25</v>
      </c>
      <c r="E16" s="18">
        <f t="shared" ref="E16:K16" si="2">E15/E8</f>
        <v>3595.2142857142858</v>
      </c>
      <c r="F16" s="52">
        <f t="shared" si="2"/>
        <v>2984.7787610619471</v>
      </c>
      <c r="G16" s="52">
        <f t="shared" si="2"/>
        <v>2814.4956521739132</v>
      </c>
      <c r="H16" s="53">
        <f t="shared" si="2"/>
        <v>1614.8362068965516</v>
      </c>
      <c r="I16" s="54">
        <f t="shared" si="2"/>
        <v>1457.2478632478633</v>
      </c>
      <c r="J16" s="54">
        <f t="shared" si="2"/>
        <v>1152.542372881356</v>
      </c>
      <c r="K16" s="54">
        <f t="shared" si="2"/>
        <v>1444.9152542372881</v>
      </c>
      <c r="L16" s="54">
        <f>L15/L8</f>
        <v>1444.9152542372881</v>
      </c>
    </row>
    <row r="17" spans="1:16" ht="66" x14ac:dyDescent="0.25">
      <c r="A17" s="172"/>
      <c r="B17" s="173"/>
      <c r="C17" s="32" t="s">
        <v>26</v>
      </c>
      <c r="D17" s="55" t="s">
        <v>18</v>
      </c>
      <c r="E17" s="56">
        <f t="shared" ref="E17:J17" si="3">E14/E8</f>
        <v>9.8810714285714294</v>
      </c>
      <c r="F17" s="57">
        <f t="shared" si="3"/>
        <v>9.2423893805309749</v>
      </c>
      <c r="G17" s="57">
        <f t="shared" si="3"/>
        <v>8.6658260869565229</v>
      </c>
      <c r="H17" s="58">
        <f t="shared" si="3"/>
        <v>4.6982758620689653</v>
      </c>
      <c r="I17" s="54">
        <f t="shared" si="3"/>
        <v>5.4700854700854702</v>
      </c>
      <c r="J17" s="54">
        <f t="shared" si="3"/>
        <v>11.008474576271187</v>
      </c>
      <c r="K17" s="42">
        <f>K14/K8</f>
        <v>12.771186440677965</v>
      </c>
      <c r="L17" s="42">
        <f>L14/L8</f>
        <v>13.297058823529412</v>
      </c>
    </row>
    <row r="18" spans="1:16" ht="65.25" customHeight="1" x14ac:dyDescent="0.25">
      <c r="A18" s="172"/>
      <c r="B18" s="173"/>
      <c r="C18" s="32" t="s">
        <v>27</v>
      </c>
      <c r="D18" s="59" t="s">
        <v>28</v>
      </c>
      <c r="E18" s="34">
        <v>354.34</v>
      </c>
      <c r="F18" s="60">
        <f>337.28*0.88</f>
        <v>296.8064</v>
      </c>
      <c r="G18" s="60">
        <f>323.67*0.88</f>
        <v>284.82960000000003</v>
      </c>
      <c r="H18" s="61">
        <f>187.32*0.88</f>
        <v>164.8416</v>
      </c>
      <c r="I18" s="54">
        <f>170.5*0.88</f>
        <v>150.04</v>
      </c>
      <c r="J18" s="140">
        <f>136*0.88</f>
        <v>119.68</v>
      </c>
      <c r="K18" s="42">
        <f>170.5*0.88</f>
        <v>150.04</v>
      </c>
      <c r="L18" s="42">
        <f>171.95*0.88</f>
        <v>151.316</v>
      </c>
      <c r="N18" s="144"/>
      <c r="O18" s="144"/>
      <c r="P18" s="144"/>
    </row>
    <row r="19" spans="1:16" ht="90" customHeight="1" x14ac:dyDescent="0.25">
      <c r="A19" s="172"/>
      <c r="B19" s="173"/>
      <c r="C19" s="62" t="s">
        <v>29</v>
      </c>
      <c r="D19" s="59" t="s">
        <v>28</v>
      </c>
      <c r="E19" s="63">
        <v>53.56</v>
      </c>
      <c r="F19" s="60">
        <f>354.34-F18</f>
        <v>57.533599999999979</v>
      </c>
      <c r="G19" s="60">
        <f>354.34-G18</f>
        <v>69.510399999999947</v>
      </c>
      <c r="H19" s="61">
        <f>354.34-H18</f>
        <v>189.49839999999998</v>
      </c>
      <c r="I19" s="54">
        <f>E18-I18</f>
        <v>204.29999999999998</v>
      </c>
      <c r="J19" s="42">
        <f>E18-J18</f>
        <v>234.65999999999997</v>
      </c>
      <c r="K19" s="54">
        <f>E18-K18</f>
        <v>204.29999999999998</v>
      </c>
      <c r="L19" s="54">
        <f>E18-L18</f>
        <v>203.02399999999997</v>
      </c>
    </row>
    <row r="20" spans="1:16" ht="103.5" customHeight="1" x14ac:dyDescent="0.25">
      <c r="A20" s="172"/>
      <c r="B20" s="173"/>
      <c r="C20" s="64" t="s">
        <v>30</v>
      </c>
      <c r="D20" s="65" t="s">
        <v>31</v>
      </c>
      <c r="E20" s="66">
        <v>100</v>
      </c>
      <c r="F20" s="67">
        <f t="shared" ref="F20:K20" si="4">F17/E17*100</f>
        <v>93.536307751063461</v>
      </c>
      <c r="G20" s="67">
        <f t="shared" si="4"/>
        <v>93.761750670351773</v>
      </c>
      <c r="H20" s="68">
        <f t="shared" si="4"/>
        <v>54.216133752564389</v>
      </c>
      <c r="I20" s="54">
        <f t="shared" si="4"/>
        <v>116.42750725319533</v>
      </c>
      <c r="J20" s="42">
        <f t="shared" si="4"/>
        <v>201.24867584745766</v>
      </c>
      <c r="K20" s="42">
        <f t="shared" si="4"/>
        <v>116.01231716705156</v>
      </c>
      <c r="L20" s="42">
        <f>L17/K17*100</f>
        <v>104.11764705882354</v>
      </c>
    </row>
    <row r="21" spans="1:16" ht="53.25" customHeight="1" x14ac:dyDescent="0.25">
      <c r="A21" s="172"/>
      <c r="B21" s="173"/>
      <c r="C21" s="51" t="s">
        <v>32</v>
      </c>
      <c r="D21" s="33" t="s">
        <v>31</v>
      </c>
      <c r="E21" s="69">
        <v>100</v>
      </c>
      <c r="F21" s="52">
        <f>F16*100/E16</f>
        <v>83.020886207591943</v>
      </c>
      <c r="G21" s="52">
        <f>F16*100/G16</f>
        <v>106.05021751433537</v>
      </c>
      <c r="H21" s="53">
        <f>G16*100/H16</f>
        <v>174.28985306088154</v>
      </c>
      <c r="I21" s="54">
        <f>I16*100/H16</f>
        <v>90.241218089136908</v>
      </c>
      <c r="J21" s="42">
        <f>J16*100/I16</f>
        <v>79.090345709110167</v>
      </c>
      <c r="K21" s="42">
        <f>K16*100/J16</f>
        <v>125.36764705882352</v>
      </c>
      <c r="L21" s="42">
        <f>L16*100/K16</f>
        <v>100</v>
      </c>
    </row>
    <row r="22" spans="1:16" ht="102" customHeight="1" x14ac:dyDescent="0.25">
      <c r="A22" s="174"/>
      <c r="B22" s="175"/>
      <c r="C22" s="51" t="s">
        <v>33</v>
      </c>
      <c r="D22" s="33" t="s">
        <v>31</v>
      </c>
      <c r="E22" s="55">
        <v>3</v>
      </c>
      <c r="F22" s="57">
        <f>F14*100/E14</f>
        <v>94.371453355983675</v>
      </c>
      <c r="G22" s="70">
        <f>G14*100/E14</f>
        <v>90.050421079264098</v>
      </c>
      <c r="H22" s="71">
        <f>H14*100/E14</f>
        <v>49.246394621751541</v>
      </c>
      <c r="I22" s="54">
        <f>I14*100/E14</f>
        <v>57.830628546644014</v>
      </c>
      <c r="J22" s="42">
        <f>J14*100/E14</f>
        <v>117.37810387826651</v>
      </c>
      <c r="K22" s="42">
        <f>K14*100/E14</f>
        <v>136.17305815592582</v>
      </c>
      <c r="L22" s="42">
        <f>L14*100/E14</f>
        <v>142.98171106372212</v>
      </c>
    </row>
    <row r="23" spans="1:16" ht="75.75" customHeight="1" x14ac:dyDescent="0.25">
      <c r="A23" s="161" t="s">
        <v>83</v>
      </c>
      <c r="B23" s="155"/>
      <c r="C23" s="72" t="s">
        <v>34</v>
      </c>
      <c r="D23" s="73" t="s">
        <v>20</v>
      </c>
      <c r="E23" s="74"/>
      <c r="F23" s="75">
        <v>2820</v>
      </c>
      <c r="G23" s="129">
        <v>2500</v>
      </c>
      <c r="H23" s="130">
        <v>3000</v>
      </c>
      <c r="I23" s="54">
        <v>3200</v>
      </c>
      <c r="J23" s="54">
        <f>562.84*6</f>
        <v>3377.04</v>
      </c>
      <c r="K23" s="54">
        <f>570*6</f>
        <v>3420</v>
      </c>
      <c r="L23" s="42">
        <f>650*6</f>
        <v>3900</v>
      </c>
      <c r="M23" s="137"/>
    </row>
    <row r="24" spans="1:16" ht="69.75" customHeight="1" x14ac:dyDescent="0.25">
      <c r="A24" s="162"/>
      <c r="B24" s="156"/>
      <c r="C24" s="76" t="s">
        <v>35</v>
      </c>
      <c r="D24" s="73" t="s">
        <v>20</v>
      </c>
      <c r="E24" s="77"/>
      <c r="F24" s="78">
        <v>120</v>
      </c>
      <c r="G24" s="54">
        <v>144</v>
      </c>
      <c r="H24" s="131">
        <v>328.49</v>
      </c>
      <c r="I24" s="54">
        <v>416</v>
      </c>
      <c r="J24" s="54">
        <v>449.14</v>
      </c>
      <c r="K24" s="54">
        <v>450</v>
      </c>
      <c r="L24" s="43">
        <f>K24*1.05</f>
        <v>472.5</v>
      </c>
      <c r="P24" s="126"/>
    </row>
    <row r="25" spans="1:16" ht="55.5" customHeight="1" x14ac:dyDescent="0.25">
      <c r="A25" s="162"/>
      <c r="B25" s="156"/>
      <c r="C25" s="76" t="s">
        <v>36</v>
      </c>
      <c r="D25" s="73" t="s">
        <v>20</v>
      </c>
      <c r="E25" s="77"/>
      <c r="F25" s="78">
        <v>100</v>
      </c>
      <c r="G25" s="54">
        <v>122</v>
      </c>
      <c r="H25" s="131">
        <v>82.68</v>
      </c>
      <c r="I25" s="54">
        <v>105</v>
      </c>
      <c r="J25" s="54">
        <v>113.04</v>
      </c>
      <c r="K25" s="42">
        <v>120</v>
      </c>
      <c r="L25" s="43">
        <f>K25*1.05</f>
        <v>126</v>
      </c>
    </row>
    <row r="26" spans="1:16" ht="72.75" customHeight="1" x14ac:dyDescent="0.25">
      <c r="A26" s="162"/>
      <c r="B26" s="156"/>
      <c r="C26" s="76" t="s">
        <v>37</v>
      </c>
      <c r="D26" s="73" t="s">
        <v>38</v>
      </c>
      <c r="E26" s="79"/>
      <c r="F26" s="80">
        <v>300</v>
      </c>
      <c r="G26" s="80">
        <v>482</v>
      </c>
      <c r="H26" s="81">
        <v>887.71</v>
      </c>
      <c r="I26" s="54">
        <v>890</v>
      </c>
      <c r="J26" s="54">
        <v>945.1</v>
      </c>
      <c r="K26" s="42">
        <v>950</v>
      </c>
      <c r="L26" s="43">
        <f>K26*1.05</f>
        <v>997.5</v>
      </c>
    </row>
    <row r="27" spans="1:16" ht="115.5" customHeight="1" x14ac:dyDescent="0.25">
      <c r="A27" s="162"/>
      <c r="B27" s="156"/>
      <c r="C27" s="72" t="s">
        <v>39</v>
      </c>
      <c r="D27" s="73" t="s">
        <v>40</v>
      </c>
      <c r="E27" s="79"/>
      <c r="F27" s="82">
        <v>2464</v>
      </c>
      <c r="G27" s="82">
        <v>2255</v>
      </c>
      <c r="H27" s="83">
        <f>2000+135+1328</f>
        <v>3463</v>
      </c>
      <c r="I27" s="84">
        <v>3235</v>
      </c>
      <c r="J27" s="84">
        <f>2000+135+450</f>
        <v>2585</v>
      </c>
      <c r="K27" s="136">
        <f>1700+135+450</f>
        <v>2285</v>
      </c>
      <c r="L27" s="43">
        <v>2900</v>
      </c>
    </row>
    <row r="28" spans="1:16" ht="88.5" customHeight="1" x14ac:dyDescent="0.25">
      <c r="A28" s="151" t="s">
        <v>84</v>
      </c>
      <c r="B28" s="151"/>
      <c r="C28" s="72" t="s">
        <v>81</v>
      </c>
      <c r="D28" s="73" t="s">
        <v>20</v>
      </c>
      <c r="E28" s="79">
        <v>115.6</v>
      </c>
      <c r="F28" s="85">
        <f>111110/F29</f>
        <v>139.5854271356784</v>
      </c>
      <c r="G28" s="85">
        <f>203602/G29</f>
        <v>195.95957651588066</v>
      </c>
      <c r="H28" s="86">
        <f>253602/H29</f>
        <v>188.271714922049</v>
      </c>
      <c r="I28" s="54">
        <v>202.7</v>
      </c>
      <c r="J28" s="54">
        <v>216</v>
      </c>
      <c r="K28" s="42">
        <v>240</v>
      </c>
      <c r="L28" s="42">
        <f>K28*1.05</f>
        <v>252</v>
      </c>
    </row>
    <row r="29" spans="1:16" ht="79.5" customHeight="1" x14ac:dyDescent="0.25">
      <c r="A29" s="151"/>
      <c r="B29" s="151"/>
      <c r="C29" s="114" t="s">
        <v>82</v>
      </c>
      <c r="D29" s="87" t="s">
        <v>41</v>
      </c>
      <c r="E29" s="87" t="s">
        <v>42</v>
      </c>
      <c r="F29" s="87">
        <v>796</v>
      </c>
      <c r="G29" s="87">
        <v>1039</v>
      </c>
      <c r="H29" s="88">
        <v>1347</v>
      </c>
      <c r="I29" s="84">
        <v>1480</v>
      </c>
      <c r="J29" s="84">
        <v>1521</v>
      </c>
      <c r="K29" s="84">
        <v>1521</v>
      </c>
      <c r="L29" s="43">
        <v>1580</v>
      </c>
    </row>
    <row r="30" spans="1:16" ht="169.5" customHeight="1" x14ac:dyDescent="0.25">
      <c r="A30" s="152" t="s">
        <v>85</v>
      </c>
      <c r="B30" s="152"/>
      <c r="C30" s="89" t="s">
        <v>43</v>
      </c>
      <c r="D30" s="90" t="s">
        <v>44</v>
      </c>
      <c r="E30" s="91" t="s">
        <v>45</v>
      </c>
      <c r="F30" s="91" t="s">
        <v>46</v>
      </c>
      <c r="G30" s="91" t="s">
        <v>47</v>
      </c>
      <c r="H30" s="92" t="s">
        <v>48</v>
      </c>
      <c r="I30" s="93" t="s">
        <v>49</v>
      </c>
      <c r="J30" s="93" t="s">
        <v>89</v>
      </c>
      <c r="K30" s="93" t="s">
        <v>89</v>
      </c>
      <c r="L30" s="93" t="s">
        <v>50</v>
      </c>
    </row>
    <row r="31" spans="1:16" ht="141.75" customHeight="1" x14ac:dyDescent="0.25">
      <c r="A31" s="153"/>
      <c r="B31" s="153"/>
      <c r="C31" s="89" t="s">
        <v>79</v>
      </c>
      <c r="D31" s="90" t="s">
        <v>20</v>
      </c>
      <c r="E31" s="91"/>
      <c r="F31" s="94">
        <v>471</v>
      </c>
      <c r="G31" s="94">
        <v>150</v>
      </c>
      <c r="H31" s="95">
        <v>117.55</v>
      </c>
      <c r="I31" s="54">
        <v>136.4</v>
      </c>
      <c r="J31" s="54">
        <v>141</v>
      </c>
      <c r="K31" s="42">
        <v>142</v>
      </c>
      <c r="L31" s="42">
        <v>150</v>
      </c>
      <c r="P31" s="127"/>
    </row>
    <row r="32" spans="1:16" ht="33" customHeight="1" x14ac:dyDescent="0.25">
      <c r="A32" s="154"/>
      <c r="B32" s="154"/>
      <c r="C32" s="96" t="s">
        <v>51</v>
      </c>
      <c r="D32" s="97" t="s">
        <v>52</v>
      </c>
      <c r="E32" s="98" t="s">
        <v>53</v>
      </c>
      <c r="F32" s="98" t="s">
        <v>54</v>
      </c>
      <c r="G32" s="98" t="s">
        <v>55</v>
      </c>
      <c r="H32" s="99">
        <v>150</v>
      </c>
      <c r="I32" s="54">
        <v>174</v>
      </c>
      <c r="J32" s="54">
        <v>188</v>
      </c>
      <c r="K32" s="42">
        <v>190</v>
      </c>
      <c r="L32" s="42">
        <v>195</v>
      </c>
    </row>
    <row r="33" spans="1:16" ht="49.5" customHeight="1" x14ac:dyDescent="0.25">
      <c r="A33" s="152" t="s">
        <v>86</v>
      </c>
      <c r="B33" s="155"/>
      <c r="C33" s="100" t="s">
        <v>90</v>
      </c>
      <c r="D33" s="16" t="s">
        <v>56</v>
      </c>
      <c r="E33" s="16"/>
      <c r="F33" s="101">
        <v>385</v>
      </c>
      <c r="G33" s="101">
        <v>385</v>
      </c>
      <c r="H33" s="102">
        <v>385</v>
      </c>
      <c r="I33" s="84">
        <v>385</v>
      </c>
      <c r="J33" s="141">
        <v>385</v>
      </c>
      <c r="K33" s="141">
        <v>385</v>
      </c>
      <c r="L33" s="142">
        <v>385</v>
      </c>
      <c r="M33" s="163"/>
      <c r="N33" s="144"/>
    </row>
    <row r="34" spans="1:16" ht="34.5" customHeight="1" x14ac:dyDescent="0.25">
      <c r="A34" s="153"/>
      <c r="B34" s="156"/>
      <c r="C34" s="100" t="s">
        <v>91</v>
      </c>
      <c r="D34" s="16" t="s">
        <v>57</v>
      </c>
      <c r="E34" s="16"/>
      <c r="F34" s="84">
        <v>7569</v>
      </c>
      <c r="G34" s="84">
        <v>7569</v>
      </c>
      <c r="H34" s="132">
        <v>7569</v>
      </c>
      <c r="I34" s="84">
        <v>7569</v>
      </c>
      <c r="J34" s="141">
        <v>7569</v>
      </c>
      <c r="K34" s="141">
        <v>7569</v>
      </c>
      <c r="L34" s="142">
        <v>7569</v>
      </c>
    </row>
    <row r="35" spans="1:16" ht="80.25" customHeight="1" x14ac:dyDescent="0.25">
      <c r="A35" s="153"/>
      <c r="B35" s="156"/>
      <c r="C35" s="103" t="s">
        <v>58</v>
      </c>
      <c r="D35" s="16" t="s">
        <v>57</v>
      </c>
      <c r="E35" s="16"/>
      <c r="F35" s="84">
        <v>46069</v>
      </c>
      <c r="G35" s="84">
        <v>46069</v>
      </c>
      <c r="H35" s="132">
        <v>46069</v>
      </c>
      <c r="I35" s="84">
        <v>46069</v>
      </c>
      <c r="J35" s="141">
        <v>42281</v>
      </c>
      <c r="K35" s="141">
        <v>42000</v>
      </c>
      <c r="L35" s="142">
        <v>41000</v>
      </c>
      <c r="M35" s="145"/>
      <c r="N35" s="146"/>
    </row>
    <row r="36" spans="1:16" ht="93" customHeight="1" x14ac:dyDescent="0.25">
      <c r="A36" s="153"/>
      <c r="B36" s="156"/>
      <c r="C36" s="103" t="s">
        <v>59</v>
      </c>
      <c r="D36" s="16" t="s">
        <v>18</v>
      </c>
      <c r="E36" s="16"/>
      <c r="F36" s="54">
        <v>1600</v>
      </c>
      <c r="G36" s="54">
        <f>1890+1040-87</f>
        <v>2843</v>
      </c>
      <c r="H36" s="131">
        <v>4400</v>
      </c>
      <c r="I36" s="54">
        <v>4800</v>
      </c>
      <c r="J36" s="54">
        <v>5097.6000000000004</v>
      </c>
      <c r="K36" s="42">
        <v>5100</v>
      </c>
      <c r="L36" s="42">
        <v>5355</v>
      </c>
    </row>
    <row r="37" spans="1:16" ht="95.25" customHeight="1" x14ac:dyDescent="0.25">
      <c r="A37" s="153"/>
      <c r="B37" s="156"/>
      <c r="C37" s="104" t="s">
        <v>60</v>
      </c>
      <c r="D37" s="16" t="s">
        <v>56</v>
      </c>
      <c r="E37" s="105"/>
      <c r="F37" s="16">
        <v>100</v>
      </c>
      <c r="G37" s="16">
        <v>100</v>
      </c>
      <c r="H37" s="106">
        <v>385</v>
      </c>
      <c r="I37" s="84">
        <v>385</v>
      </c>
      <c r="J37" s="84">
        <v>328</v>
      </c>
      <c r="K37" s="84">
        <v>277.5</v>
      </c>
      <c r="L37" s="43">
        <v>225</v>
      </c>
    </row>
    <row r="38" spans="1:16" ht="99" customHeight="1" x14ac:dyDescent="0.25">
      <c r="A38" s="153"/>
      <c r="B38" s="156"/>
      <c r="C38" s="107" t="s">
        <v>61</v>
      </c>
      <c r="D38" s="16" t="s">
        <v>57</v>
      </c>
      <c r="E38" s="105"/>
      <c r="F38" s="16">
        <v>6000</v>
      </c>
      <c r="G38" s="16">
        <v>6000</v>
      </c>
      <c r="H38" s="106">
        <v>7569</v>
      </c>
      <c r="I38" s="84">
        <v>7310</v>
      </c>
      <c r="J38" s="84">
        <v>8533</v>
      </c>
      <c r="K38" s="84">
        <v>7940.4</v>
      </c>
      <c r="L38" s="84">
        <v>7310</v>
      </c>
    </row>
    <row r="39" spans="1:16" ht="78" customHeight="1" x14ac:dyDescent="0.25">
      <c r="A39" s="153"/>
      <c r="B39" s="156"/>
      <c r="C39" s="108" t="s">
        <v>62</v>
      </c>
      <c r="D39" s="16" t="s">
        <v>57</v>
      </c>
      <c r="E39" s="105"/>
      <c r="F39" s="16">
        <v>18592</v>
      </c>
      <c r="G39" s="101">
        <f>14543+900</f>
        <v>15443</v>
      </c>
      <c r="H39" s="106">
        <v>46069</v>
      </c>
      <c r="I39" s="106">
        <v>46050</v>
      </c>
      <c r="J39" s="141">
        <v>42281</v>
      </c>
      <c r="K39" s="141">
        <v>42000</v>
      </c>
      <c r="L39" s="142">
        <v>41000</v>
      </c>
      <c r="P39" s="127"/>
    </row>
    <row r="40" spans="1:16" ht="89.25" customHeight="1" x14ac:dyDescent="0.25">
      <c r="A40" s="153"/>
      <c r="B40" s="156"/>
      <c r="C40" s="109" t="s">
        <v>63</v>
      </c>
      <c r="D40" s="110" t="s">
        <v>20</v>
      </c>
      <c r="E40" s="111"/>
      <c r="F40" s="112">
        <v>10000</v>
      </c>
      <c r="G40" s="112">
        <v>8895.4</v>
      </c>
      <c r="H40" s="113">
        <v>8655.0400000000009</v>
      </c>
      <c r="I40" s="54">
        <v>9286.83</v>
      </c>
      <c r="J40" s="54">
        <v>9626.41</v>
      </c>
      <c r="K40" s="54">
        <v>9145.1</v>
      </c>
      <c r="L40" s="42">
        <v>10000</v>
      </c>
    </row>
    <row r="41" spans="1:16" ht="60.75" customHeight="1" x14ac:dyDescent="0.25">
      <c r="A41" s="153"/>
      <c r="B41" s="156"/>
      <c r="C41" s="114" t="s">
        <v>64</v>
      </c>
      <c r="D41" s="115" t="s">
        <v>20</v>
      </c>
      <c r="E41" s="115">
        <v>83</v>
      </c>
      <c r="F41" s="94">
        <v>100</v>
      </c>
      <c r="G41" s="94">
        <v>86</v>
      </c>
      <c r="H41" s="95">
        <v>146.08000000000001</v>
      </c>
      <c r="I41" s="54">
        <v>167.52</v>
      </c>
      <c r="J41" s="54">
        <v>200</v>
      </c>
      <c r="K41" s="54">
        <v>190</v>
      </c>
      <c r="L41" s="42">
        <v>190</v>
      </c>
    </row>
    <row r="42" spans="1:16" ht="77.25" customHeight="1" x14ac:dyDescent="0.25">
      <c r="A42" s="153"/>
      <c r="B42" s="156"/>
      <c r="C42" s="108" t="s">
        <v>65</v>
      </c>
      <c r="D42" s="16" t="s">
        <v>31</v>
      </c>
      <c r="E42" s="105"/>
      <c r="F42" s="116">
        <f t="shared" ref="F42:L42" si="5">F39/F35*100</f>
        <v>40.356856020317352</v>
      </c>
      <c r="G42" s="116">
        <f t="shared" si="5"/>
        <v>33.521456945017256</v>
      </c>
      <c r="H42" s="102">
        <f t="shared" si="5"/>
        <v>100</v>
      </c>
      <c r="I42" s="118">
        <f t="shared" si="5"/>
        <v>99.958757515900061</v>
      </c>
      <c r="J42" s="84">
        <f t="shared" si="5"/>
        <v>100</v>
      </c>
      <c r="K42" s="84">
        <f t="shared" si="5"/>
        <v>100</v>
      </c>
      <c r="L42" s="43">
        <f t="shared" si="5"/>
        <v>100</v>
      </c>
    </row>
    <row r="43" spans="1:16" ht="56.25" customHeight="1" x14ac:dyDescent="0.25">
      <c r="A43" s="157" t="s">
        <v>66</v>
      </c>
      <c r="B43" s="157"/>
      <c r="C43" s="108" t="s">
        <v>67</v>
      </c>
      <c r="D43" s="16" t="s">
        <v>68</v>
      </c>
      <c r="E43" s="117">
        <f>368/267000*100000</f>
        <v>137.82771535580522</v>
      </c>
      <c r="F43" s="118">
        <f>255/267*100</f>
        <v>95.50561797752809</v>
      </c>
      <c r="G43" s="117">
        <f>302/267*100</f>
        <v>113.10861423220975</v>
      </c>
      <c r="H43" s="119">
        <f>253/267*100</f>
        <v>94.756554307116104</v>
      </c>
      <c r="I43" s="49">
        <f>241/267*100</f>
        <v>90.262172284644194</v>
      </c>
      <c r="J43" s="84"/>
      <c r="K43" s="120"/>
      <c r="L43" s="133"/>
    </row>
    <row r="44" spans="1:16" ht="60" customHeight="1" x14ac:dyDescent="0.25">
      <c r="A44" s="158"/>
      <c r="B44" s="158"/>
      <c r="C44" s="108" t="s">
        <v>69</v>
      </c>
      <c r="D44" s="16" t="s">
        <v>70</v>
      </c>
      <c r="E44" s="117">
        <f>449/267000*100000</f>
        <v>168.16479400749066</v>
      </c>
      <c r="F44" s="118">
        <f>318/267*100</f>
        <v>119.10112359550563</v>
      </c>
      <c r="G44" s="117">
        <f>364/267*100</f>
        <v>136.32958801498128</v>
      </c>
      <c r="H44" s="119">
        <f>282/267*100</f>
        <v>105.61797752808988</v>
      </c>
      <c r="I44" s="49">
        <f>292/267*100</f>
        <v>109.36329588014982</v>
      </c>
      <c r="J44" s="84"/>
      <c r="K44" s="120"/>
      <c r="L44" s="133"/>
    </row>
    <row r="45" spans="1:16" ht="57" customHeight="1" x14ac:dyDescent="0.25">
      <c r="A45" s="159"/>
      <c r="B45" s="159"/>
      <c r="C45" s="108" t="s">
        <v>71</v>
      </c>
      <c r="D45" s="16" t="s">
        <v>70</v>
      </c>
      <c r="E45" s="117">
        <f>16/267000*100000</f>
        <v>5.9925093632958797</v>
      </c>
      <c r="F45" s="118">
        <f>6/267*100</f>
        <v>2.2471910112359552</v>
      </c>
      <c r="G45" s="117">
        <f>10/267*100</f>
        <v>3.7453183520599254</v>
      </c>
      <c r="H45" s="119">
        <f>14/267*100</f>
        <v>5.2434456928838955</v>
      </c>
      <c r="I45" s="49">
        <f>9/267*100</f>
        <v>3.3707865168539324</v>
      </c>
      <c r="J45" s="84"/>
      <c r="K45" s="120"/>
      <c r="L45" s="133"/>
    </row>
    <row r="46" spans="1:16" ht="65.25" customHeight="1" x14ac:dyDescent="0.25">
      <c r="A46" s="147" t="s">
        <v>87</v>
      </c>
      <c r="B46" s="147"/>
      <c r="C46" s="160"/>
      <c r="D46" s="121"/>
      <c r="E46" s="122"/>
      <c r="F46" s="147"/>
      <c r="G46" s="147"/>
      <c r="H46" s="147" t="s">
        <v>80</v>
      </c>
      <c r="I46" s="147"/>
      <c r="J46" s="147"/>
      <c r="K46" s="147"/>
    </row>
    <row r="47" spans="1:16" ht="21" x14ac:dyDescent="0.3">
      <c r="A47" s="123"/>
      <c r="B47" s="123"/>
      <c r="C47" s="123"/>
      <c r="D47" s="121"/>
      <c r="E47" s="124"/>
      <c r="F47" s="123"/>
      <c r="G47" s="123"/>
      <c r="H47" s="124"/>
      <c r="I47" s="125"/>
      <c r="J47" s="125"/>
      <c r="K47" s="125"/>
    </row>
    <row r="48" spans="1:16" ht="21" x14ac:dyDescent="0.25">
      <c r="A48" s="148" t="s">
        <v>72</v>
      </c>
      <c r="B48" s="148"/>
      <c r="C48" s="148"/>
      <c r="D48" s="121"/>
      <c r="E48" s="122"/>
      <c r="F48" s="148"/>
      <c r="G48" s="148"/>
      <c r="H48" s="148" t="s">
        <v>73</v>
      </c>
      <c r="I48" s="148"/>
      <c r="J48" s="148"/>
      <c r="K48" s="148"/>
    </row>
  </sheetData>
  <mergeCells count="38">
    <mergeCell ref="F1:J1"/>
    <mergeCell ref="K1:L1"/>
    <mergeCell ref="A2:L2"/>
    <mergeCell ref="A3:B5"/>
    <mergeCell ref="C3:C5"/>
    <mergeCell ref="D3:D5"/>
    <mergeCell ref="E3:E5"/>
    <mergeCell ref="F3:L3"/>
    <mergeCell ref="F4:L4"/>
    <mergeCell ref="J6:J7"/>
    <mergeCell ref="K6:K7"/>
    <mergeCell ref="L6:L7"/>
    <mergeCell ref="A10:B13"/>
    <mergeCell ref="A14:B22"/>
    <mergeCell ref="A6:B9"/>
    <mergeCell ref="E6:E7"/>
    <mergeCell ref="F6:F7"/>
    <mergeCell ref="G6:G7"/>
    <mergeCell ref="H6:H7"/>
    <mergeCell ref="I6:I7"/>
    <mergeCell ref="P8:Z8"/>
    <mergeCell ref="P11:S11"/>
    <mergeCell ref="A28:B29"/>
    <mergeCell ref="A30:B32"/>
    <mergeCell ref="A33:B42"/>
    <mergeCell ref="A23:B27"/>
    <mergeCell ref="M33:N33"/>
    <mergeCell ref="O13:P13"/>
    <mergeCell ref="N18:P18"/>
    <mergeCell ref="N15:P15"/>
    <mergeCell ref="M35:N35"/>
    <mergeCell ref="H46:K46"/>
    <mergeCell ref="A48:C48"/>
    <mergeCell ref="F48:G48"/>
    <mergeCell ref="H48:K48"/>
    <mergeCell ref="A43:B45"/>
    <mergeCell ref="A46:C46"/>
    <mergeCell ref="F46:G46"/>
  </mergeCells>
  <pageMargins left="1.1811023622047245" right="0.39370078740157483" top="0.78740157480314965" bottom="0.59055118110236227" header="0.31496062992125984" footer="0.31496062992125984"/>
  <pageSetup paperSize="9" scale="30" fitToHeight="0" orientation="portrait" r:id="rId1"/>
  <headerFooter>
    <oddHeader>&amp;R&amp;"Times New Roman,обычный"&amp;14Продовження додатка</oddHeader>
  </headerFooter>
  <ignoredErrors>
    <ignoredError sqref="J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2022-11-16T09:41:18Z</dcterms:modified>
</cp:coreProperties>
</file>