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Лист1!$A$1:$K$138</definedName>
  </definedNames>
  <calcPr calcId="124519"/>
</workbook>
</file>

<file path=xl/calcChain.xml><?xml version="1.0" encoding="utf-8"?>
<calcChain xmlns="http://schemas.openxmlformats.org/spreadsheetml/2006/main">
  <c r="G114" i="1"/>
  <c r="J24"/>
  <c r="J125"/>
  <c r="K88"/>
  <c r="J88"/>
  <c r="I88"/>
  <c r="I125"/>
  <c r="L125" s="1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6"/>
  <c r="L127"/>
  <c r="L128"/>
  <c r="L130"/>
  <c r="L131"/>
  <c r="L60"/>
  <c r="I131"/>
  <c r="E88"/>
  <c r="G130"/>
  <c r="G125"/>
  <c r="F125"/>
  <c r="D125"/>
  <c r="C125"/>
  <c r="H126"/>
  <c r="K126"/>
  <c r="J126"/>
  <c r="I126"/>
  <c r="G117"/>
  <c r="F117"/>
  <c r="H116"/>
  <c r="G115"/>
  <c r="F115"/>
  <c r="F114"/>
  <c r="G108"/>
  <c r="F108"/>
  <c r="G95"/>
  <c r="J95" s="1"/>
  <c r="F95"/>
  <c r="I95" s="1"/>
  <c r="G90"/>
  <c r="G87"/>
  <c r="G84" s="1"/>
  <c r="J80"/>
  <c r="I80"/>
  <c r="G79"/>
  <c r="F79"/>
  <c r="G78"/>
  <c r="F78"/>
  <c r="G77"/>
  <c r="G74"/>
  <c r="F74"/>
  <c r="F84" l="1"/>
  <c r="K95"/>
  <c r="H95"/>
  <c r="K80"/>
  <c r="H74"/>
  <c r="C122"/>
  <c r="D122"/>
  <c r="D121"/>
  <c r="C121"/>
  <c r="D120"/>
  <c r="C120"/>
  <c r="C117"/>
  <c r="C115"/>
  <c r="D117" l="1"/>
  <c r="D115"/>
  <c r="D114"/>
  <c r="C114"/>
  <c r="C110"/>
  <c r="D108"/>
  <c r="C108"/>
  <c r="D103"/>
  <c r="C103"/>
  <c r="D101"/>
  <c r="C101"/>
  <c r="D93"/>
  <c r="C93"/>
  <c r="D90"/>
  <c r="C90"/>
  <c r="D89"/>
  <c r="C89"/>
  <c r="D87"/>
  <c r="C87"/>
  <c r="D85"/>
  <c r="C85"/>
  <c r="D83"/>
  <c r="C83"/>
  <c r="I61"/>
  <c r="G64"/>
  <c r="D74"/>
  <c r="J74" s="1"/>
  <c r="C74"/>
  <c r="I74" s="1"/>
  <c r="D73"/>
  <c r="C73"/>
  <c r="D72"/>
  <c r="C72"/>
  <c r="D70"/>
  <c r="C70"/>
  <c r="C64" s="1"/>
  <c r="J32"/>
  <c r="H36"/>
  <c r="J53"/>
  <c r="I53"/>
  <c r="J36"/>
  <c r="I36"/>
  <c r="D30"/>
  <c r="E53"/>
  <c r="J56"/>
  <c r="J55"/>
  <c r="J54"/>
  <c r="J52"/>
  <c r="J51"/>
  <c r="J50"/>
  <c r="J49"/>
  <c r="J48"/>
  <c r="J47"/>
  <c r="J46"/>
  <c r="J45"/>
  <c r="J44"/>
  <c r="J43"/>
  <c r="J42"/>
  <c r="J41"/>
  <c r="J39"/>
  <c r="J38"/>
  <c r="J37"/>
  <c r="J35"/>
  <c r="J34"/>
  <c r="J33"/>
  <c r="J29"/>
  <c r="J28"/>
  <c r="J27"/>
  <c r="J26"/>
  <c r="J25"/>
  <c r="J23"/>
  <c r="J22"/>
  <c r="J21"/>
  <c r="J20"/>
  <c r="J19"/>
  <c r="J18"/>
  <c r="J17"/>
  <c r="J16"/>
  <c r="J15"/>
  <c r="J14"/>
  <c r="J13"/>
  <c r="J12"/>
  <c r="J11"/>
  <c r="I56"/>
  <c r="I55"/>
  <c r="I54"/>
  <c r="I52"/>
  <c r="I51"/>
  <c r="K51" s="1"/>
  <c r="I50"/>
  <c r="I49"/>
  <c r="I48"/>
  <c r="I47"/>
  <c r="I46"/>
  <c r="I45"/>
  <c r="I44"/>
  <c r="I43"/>
  <c r="I42"/>
  <c r="I41"/>
  <c r="I39"/>
  <c r="I38"/>
  <c r="I37"/>
  <c r="I35"/>
  <c r="I34"/>
  <c r="I33"/>
  <c r="I32"/>
  <c r="I31"/>
  <c r="I29"/>
  <c r="I28"/>
  <c r="I27"/>
  <c r="I26"/>
  <c r="I25"/>
  <c r="I23"/>
  <c r="I22"/>
  <c r="I21"/>
  <c r="I20"/>
  <c r="I19"/>
  <c r="I18"/>
  <c r="I17"/>
  <c r="I16"/>
  <c r="I15"/>
  <c r="I14"/>
  <c r="I13"/>
  <c r="I12"/>
  <c r="I11"/>
  <c r="H56"/>
  <c r="H55"/>
  <c r="H54"/>
  <c r="H52"/>
  <c r="H48"/>
  <c r="H47"/>
  <c r="H42"/>
  <c r="H41"/>
  <c r="H40"/>
  <c r="H35"/>
  <c r="H34"/>
  <c r="H33"/>
  <c r="H32"/>
  <c r="H29"/>
  <c r="H28"/>
  <c r="H27"/>
  <c r="H26"/>
  <c r="H25"/>
  <c r="H23"/>
  <c r="H22"/>
  <c r="H19"/>
  <c r="H18"/>
  <c r="H17"/>
  <c r="E27"/>
  <c r="E52"/>
  <c r="E51"/>
  <c r="E50"/>
  <c r="E49"/>
  <c r="E47"/>
  <c r="E46"/>
  <c r="E45"/>
  <c r="E44"/>
  <c r="E43"/>
  <c r="E42"/>
  <c r="E41"/>
  <c r="E39"/>
  <c r="E38"/>
  <c r="E37"/>
  <c r="E33"/>
  <c r="E32"/>
  <c r="E26"/>
  <c r="E22"/>
  <c r="E21"/>
  <c r="E20"/>
  <c r="E19"/>
  <c r="E16"/>
  <c r="E15"/>
  <c r="E14"/>
  <c r="E13"/>
  <c r="E12"/>
  <c r="E11"/>
  <c r="G81"/>
  <c r="I78"/>
  <c r="J78"/>
  <c r="J79"/>
  <c r="H78"/>
  <c r="H79"/>
  <c r="J77"/>
  <c r="F77"/>
  <c r="I77" s="1"/>
  <c r="H10"/>
  <c r="K74" l="1"/>
  <c r="D84"/>
  <c r="C84"/>
  <c r="G112"/>
  <c r="K41"/>
  <c r="K56"/>
  <c r="E74"/>
  <c r="K33"/>
  <c r="D64"/>
  <c r="F64"/>
  <c r="H64" s="1"/>
  <c r="K23"/>
  <c r="K49"/>
  <c r="K78"/>
  <c r="K47"/>
  <c r="K45"/>
  <c r="K25"/>
  <c r="K37"/>
  <c r="K34"/>
  <c r="K35"/>
  <c r="K50"/>
  <c r="K53"/>
  <c r="K36"/>
  <c r="K48"/>
  <c r="K39"/>
  <c r="K38"/>
  <c r="K46"/>
  <c r="K44"/>
  <c r="K55"/>
  <c r="K54"/>
  <c r="K29"/>
  <c r="K28"/>
  <c r="K18"/>
  <c r="K17"/>
  <c r="K52"/>
  <c r="K43"/>
  <c r="K42"/>
  <c r="K32"/>
  <c r="K27"/>
  <c r="K26"/>
  <c r="K22"/>
  <c r="K21"/>
  <c r="K20"/>
  <c r="K19"/>
  <c r="K16"/>
  <c r="K15"/>
  <c r="K14"/>
  <c r="K13"/>
  <c r="K12"/>
  <c r="K11"/>
  <c r="I79"/>
  <c r="K79" s="1"/>
  <c r="K77"/>
  <c r="H77"/>
  <c r="I124"/>
  <c r="J124"/>
  <c r="I93"/>
  <c r="J93"/>
  <c r="E93"/>
  <c r="H31"/>
  <c r="F30"/>
  <c r="I30" s="1"/>
  <c r="G30"/>
  <c r="H65"/>
  <c r="H66"/>
  <c r="H69"/>
  <c r="H70"/>
  <c r="H82"/>
  <c r="H83"/>
  <c r="H98"/>
  <c r="H99"/>
  <c r="H109"/>
  <c r="H110"/>
  <c r="H111"/>
  <c r="H118"/>
  <c r="H122"/>
  <c r="H128"/>
  <c r="E65"/>
  <c r="E66"/>
  <c r="E67"/>
  <c r="E68"/>
  <c r="E69"/>
  <c r="E71"/>
  <c r="E75"/>
  <c r="E76"/>
  <c r="E61"/>
  <c r="E62"/>
  <c r="E63"/>
  <c r="E86"/>
  <c r="E91"/>
  <c r="E92"/>
  <c r="E94"/>
  <c r="E96"/>
  <c r="E98"/>
  <c r="E99"/>
  <c r="E100"/>
  <c r="E104"/>
  <c r="E105"/>
  <c r="E106"/>
  <c r="E109"/>
  <c r="E111"/>
  <c r="E113"/>
  <c r="E116"/>
  <c r="E118"/>
  <c r="E123"/>
  <c r="E124"/>
  <c r="E127"/>
  <c r="E128"/>
  <c r="E130"/>
  <c r="E131"/>
  <c r="J104"/>
  <c r="H30" l="1"/>
  <c r="J31"/>
  <c r="K31" s="1"/>
  <c r="E31"/>
  <c r="E70"/>
  <c r="K93"/>
  <c r="K124"/>
  <c r="F57"/>
  <c r="H108"/>
  <c r="H114"/>
  <c r="H115"/>
  <c r="H117"/>
  <c r="H121"/>
  <c r="H84" l="1"/>
  <c r="J82"/>
  <c r="I82"/>
  <c r="F81"/>
  <c r="I110"/>
  <c r="C81"/>
  <c r="K82" l="1"/>
  <c r="E110"/>
  <c r="E121"/>
  <c r="E122"/>
  <c r="H81"/>
  <c r="E83"/>
  <c r="J83"/>
  <c r="E103"/>
  <c r="D102"/>
  <c r="E85"/>
  <c r="E87"/>
  <c r="E89"/>
  <c r="E90"/>
  <c r="E84"/>
  <c r="E101"/>
  <c r="E108"/>
  <c r="E114"/>
  <c r="E115"/>
  <c r="E117"/>
  <c r="D81"/>
  <c r="E81" s="1"/>
  <c r="J76"/>
  <c r="I76"/>
  <c r="E72" l="1"/>
  <c r="E73"/>
  <c r="E64"/>
  <c r="K76"/>
  <c r="C136"/>
  <c r="G119"/>
  <c r="J122"/>
  <c r="I122"/>
  <c r="J121"/>
  <c r="J117"/>
  <c r="I117"/>
  <c r="J116"/>
  <c r="I116"/>
  <c r="D112"/>
  <c r="I115"/>
  <c r="J114"/>
  <c r="I114"/>
  <c r="J108"/>
  <c r="I108"/>
  <c r="J106"/>
  <c r="I106"/>
  <c r="J105"/>
  <c r="I105"/>
  <c r="I104"/>
  <c r="J90"/>
  <c r="I90"/>
  <c r="J89"/>
  <c r="I89"/>
  <c r="I87"/>
  <c r="J85"/>
  <c r="I85"/>
  <c r="J81"/>
  <c r="I83"/>
  <c r="I81" s="1"/>
  <c r="J72"/>
  <c r="I72"/>
  <c r="I120" l="1"/>
  <c r="E120"/>
  <c r="K122"/>
  <c r="C119"/>
  <c r="F119"/>
  <c r="H119" s="1"/>
  <c r="D119"/>
  <c r="K116"/>
  <c r="I121"/>
  <c r="K121" s="1"/>
  <c r="J120"/>
  <c r="K114"/>
  <c r="C112"/>
  <c r="E112" s="1"/>
  <c r="F112"/>
  <c r="K117"/>
  <c r="J115"/>
  <c r="K115" s="1"/>
  <c r="J87"/>
  <c r="J84" s="1"/>
  <c r="J118"/>
  <c r="I118"/>
  <c r="D40"/>
  <c r="C40"/>
  <c r="I40" s="1"/>
  <c r="I130"/>
  <c r="F107"/>
  <c r="G60"/>
  <c r="F60"/>
  <c r="D60"/>
  <c r="C60"/>
  <c r="E58"/>
  <c r="F102"/>
  <c r="J127"/>
  <c r="J128"/>
  <c r="I128"/>
  <c r="I127"/>
  <c r="J62"/>
  <c r="H58"/>
  <c r="J58"/>
  <c r="I58"/>
  <c r="I75"/>
  <c r="J75"/>
  <c r="I67"/>
  <c r="J63"/>
  <c r="J131"/>
  <c r="G97"/>
  <c r="J113"/>
  <c r="I96"/>
  <c r="J96"/>
  <c r="I98"/>
  <c r="F97"/>
  <c r="J109"/>
  <c r="I111"/>
  <c r="J111"/>
  <c r="I113"/>
  <c r="I103"/>
  <c r="D97"/>
  <c r="C97"/>
  <c r="J123"/>
  <c r="I123"/>
  <c r="J86"/>
  <c r="I86"/>
  <c r="I92"/>
  <c r="J92"/>
  <c r="J94"/>
  <c r="I94"/>
  <c r="J91"/>
  <c r="I91"/>
  <c r="I84" s="1"/>
  <c r="L84" s="1"/>
  <c r="I62"/>
  <c r="J130"/>
  <c r="J61"/>
  <c r="J65"/>
  <c r="J68"/>
  <c r="J69"/>
  <c r="J71"/>
  <c r="J99"/>
  <c r="J100"/>
  <c r="I63"/>
  <c r="I65"/>
  <c r="I68"/>
  <c r="I69"/>
  <c r="I71"/>
  <c r="I99"/>
  <c r="I100"/>
  <c r="J98"/>
  <c r="I109"/>
  <c r="R84" l="1"/>
  <c r="J40"/>
  <c r="K40" s="1"/>
  <c r="E40"/>
  <c r="E119"/>
  <c r="K120"/>
  <c r="I112"/>
  <c r="H97"/>
  <c r="H112"/>
  <c r="E97"/>
  <c r="H125"/>
  <c r="E125"/>
  <c r="J112"/>
  <c r="J119"/>
  <c r="I119"/>
  <c r="K65"/>
  <c r="I70"/>
  <c r="K118"/>
  <c r="J103"/>
  <c r="C107"/>
  <c r="K98"/>
  <c r="K113"/>
  <c r="J101"/>
  <c r="J97" s="1"/>
  <c r="K61"/>
  <c r="K94"/>
  <c r="K92"/>
  <c r="J73"/>
  <c r="J66"/>
  <c r="K86"/>
  <c r="K75"/>
  <c r="K71"/>
  <c r="K68"/>
  <c r="E60"/>
  <c r="K105"/>
  <c r="I102"/>
  <c r="K63"/>
  <c r="J67"/>
  <c r="D107"/>
  <c r="J110"/>
  <c r="K128"/>
  <c r="I66"/>
  <c r="I64" s="1"/>
  <c r="J70"/>
  <c r="K100"/>
  <c r="I60"/>
  <c r="K91"/>
  <c r="K111"/>
  <c r="K109"/>
  <c r="K58"/>
  <c r="K104"/>
  <c r="I73"/>
  <c r="K99"/>
  <c r="G107"/>
  <c r="H107" s="1"/>
  <c r="I101"/>
  <c r="J60"/>
  <c r="K127"/>
  <c r="K87"/>
  <c r="K96"/>
  <c r="K69"/>
  <c r="K62"/>
  <c r="C102"/>
  <c r="E102" s="1"/>
  <c r="K123"/>
  <c r="G102"/>
  <c r="K67" l="1"/>
  <c r="J64"/>
  <c r="G129"/>
  <c r="E107"/>
  <c r="K103"/>
  <c r="J102"/>
  <c r="K102" s="1"/>
  <c r="K101"/>
  <c r="K73"/>
  <c r="K70"/>
  <c r="K66"/>
  <c r="K110"/>
  <c r="J107"/>
  <c r="K125"/>
  <c r="I107"/>
  <c r="K81"/>
  <c r="F129"/>
  <c r="K90"/>
  <c r="K89"/>
  <c r="K106"/>
  <c r="K85"/>
  <c r="K119"/>
  <c r="K108"/>
  <c r="D129"/>
  <c r="K83"/>
  <c r="C129"/>
  <c r="K60"/>
  <c r="K72"/>
  <c r="I97"/>
  <c r="E10"/>
  <c r="H129" l="1"/>
  <c r="E129"/>
  <c r="K112"/>
  <c r="K84"/>
  <c r="K107"/>
  <c r="J129"/>
  <c r="K64"/>
  <c r="I10"/>
  <c r="K97"/>
  <c r="I129"/>
  <c r="J10"/>
  <c r="L129" l="1"/>
  <c r="J30"/>
  <c r="K30" s="1"/>
  <c r="E30"/>
  <c r="G57"/>
  <c r="K10"/>
  <c r="C57"/>
  <c r="I57" s="1"/>
  <c r="K129"/>
  <c r="H57" l="1"/>
  <c r="E57"/>
  <c r="J57"/>
  <c r="K57" l="1"/>
</calcChain>
</file>

<file path=xl/sharedStrings.xml><?xml version="1.0" encoding="utf-8"?>
<sst xmlns="http://schemas.openxmlformats.org/spreadsheetml/2006/main" count="164" uniqueCount="156">
  <si>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</si>
  <si>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</si>
  <si>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</si>
  <si>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</si>
  <si>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</si>
  <si>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</si>
  <si>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Інші субвенції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</si>
  <si>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</si>
  <si>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</si>
  <si>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</si>
  <si>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</si>
  <si>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</si>
  <si>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</si>
  <si>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</si>
  <si>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</si>
  <si>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</si>
  <si>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</si>
  <si>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</si>
  <si>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</si>
  <si>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</si>
  <si>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</si>
  <si>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</si>
  <si>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</si>
  <si>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</si>
  <si>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</si>
  <si>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</si>
  <si>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</si>
  <si>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</si>
  <si>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</si>
  <si>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</si>
  <si>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</si>
  <si>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</si>
  <si>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</si>
  <si>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</si>
  <si>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</si>
  <si>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</si>
  <si>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</si>
  <si>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</si>
  <si>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</si>
  <si>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</si>
  <si>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</si>
  <si>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</si>
  <si>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</si>
  <si>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</si>
  <si>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</si>
  <si>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</si>
  <si>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</si>
  <si>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</si>
  <si>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</si>
  <si>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</si>
  <si>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</si>
  <si>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</si>
  <si>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</si>
  <si>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</si>
  <si>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</si>
  <si>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</si>
  <si>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</si>
  <si>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</si>
  <si>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</si>
  <si>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</si>
  <si>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</si>
  <si>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</si>
  <si>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</si>
  <si>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</si>
  <si>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</si>
  <si>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</si>
  <si>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</si>
  <si>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</si>
  <si>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</si>
  <si>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</si>
  <si>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</si>
  <si>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</si>
  <si>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</si>
  <si>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</si>
  <si>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</si>
  <si>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</si>
  <si>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</si>
  <si>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</si>
  <si>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</si>
  <si>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</si>
  <si>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</si>
  <si>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</si>
  <si>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</si>
  <si>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</si>
  <si>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</si>
  <si>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</si>
  <si>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</si>
  <si>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</si>
  <si>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</si>
  <si>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</si>
  <si>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</si>
  <si>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</si>
  <si>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</si>
  <si>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</si>
  <si>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</si>
  <si>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</si>
  <si>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</si>
  <si>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</si>
  <si>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</si>
  <si>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</si>
  <si>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</si>
  <si>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</si>
  <si>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</si>
  <si>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</si>
  <si>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</si>
  <si>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</si>
  <si>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</si>
  <si>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</si>
  <si>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</si>
  <si>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</si>
  <si>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</si>
  <si>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</si>
  <si>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</si>
  <si>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</si>
  <si>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</si>
  <si>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Будівництво та регіональний розвиток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</si>
  <si>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</si>
  <si>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</si>
  <si>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</si>
  <si>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</si>
  <si>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</si>
  <si>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</si>
  <si>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Засоби масової інформації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</si>
  <si>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</si>
  <si>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</si>
  <si>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Надходження в рамках програм допомоги урядів іноземних держав, міжнародних організацій, донорських установ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</si>
  <si>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</si>
  <si>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</si>
  <si>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Багатопрофільна стаціонарна медична допомога населенню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</si>
  <si>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</si>
  <si>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</si>
  <si>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</si>
  <si>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</si>
  <si>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</si>
  <si>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</si>
  <si>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</t>
  </si>
  <si>
    <t>Виконання заходів щодо створення навчально-практичних центрів сучасної професійної (професійно-технічної) освіти</t>
  </si>
  <si>
    <t>Галина ШИМАНСЬКА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</si>
  <si>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</si>
  <si>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п.2-5 ч.1ст.10-1ЗУ "Про статус ветеранів війни, гарантії їх соціального захистц", для осіб з інвалідністю І-Іігр., яка настала внаслідок поранення, контузії, каліцтва або захворювання, одержаних під час безпосередньої участі в АТО, забезпеченні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РФ проти України, визначених п.1-14 ч.2 ст.ЗУ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</si>
  <si>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аб.1 п.1 ст.10 ЗУ "Про статус ветеранів війни, гарантії їх соціального захисту",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 державах, визначених п.7 ч.2 ст.7 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</si>
  <si>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r>
      <t>Субвенція з міс.бюд.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АТО, забезпеченні її проведення, перебуваючи безпосередньо в районах АТО у період її проведення, у здійсненні заходів із забезпечення національної безпеки і оборони, відсічі і стримування збройної агресії РФ у Донецькій та Луганській обл,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22"/>
        <color theme="1"/>
        <rFont val="Times New Roman"/>
        <family val="1"/>
        <charset val="204"/>
      </rPr>
      <t>п 11 - 14</t>
    </r>
    <r>
      <rPr>
        <sz val="22"/>
        <color theme="1"/>
        <rFont val="Times New Roman"/>
        <family val="1"/>
        <charset val="204"/>
      </rPr>
      <t> ч 2 ст 7 або учасниками бойових дій відповідно до </t>
    </r>
    <r>
      <rPr>
        <u/>
        <sz val="22"/>
        <color theme="1"/>
        <rFont val="Times New Roman"/>
        <family val="1"/>
        <charset val="204"/>
      </rPr>
      <t>п 19 - 21</t>
    </r>
    <r>
      <rPr>
        <sz val="22"/>
        <color theme="1"/>
        <rFont val="Times New Roman"/>
        <family val="1"/>
        <charset val="204"/>
      </rPr>
      <t> ч 1 ст 6 ЗУ"Про статус ветеранів війни, гарантії їх соц.захисту", та які потребують поліпшення житлових умов за рахунок відповідної субвенції з державного бюджету</t>
    </r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</si>
  <si>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</si>
  <si>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</si>
  <si>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Звіт  про  виконання  бюджету  Житомирської  міської  територіальної  громади  за  2024  рік</t>
  </si>
  <si>
    <t>Субвенція з державного бюджету місцевим бюджетам на забезпечення харчування учнів початкових класів закладів загальної середньої освіти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</si>
  <si>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</si>
  <si>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</si>
  <si>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</si>
  <si>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</si>
  <si>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</si>
  <si>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Субвенція з місцевого бюджету на співфінансування інвестиційних проектів</t>
  </si>
  <si>
    <t>Інші надходження</t>
  </si>
  <si>
    <t xml:space="preserve">                              Додаток до проєкту</t>
  </si>
  <si>
    <t xml:space="preserve">                              рішення міської ради</t>
  </si>
  <si>
    <t xml:space="preserve">                               ____________ № ____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</si>
</sst>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4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333333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u/>
      <sz val="2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1" fillId="0" borderId="10" xfId="0" quotePrefix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7" fillId="0" borderId="0" xfId="0" applyNumberFormat="1" applyFont="1" applyFill="1"/>
    <xf numFmtId="0" fontId="17" fillId="0" borderId="0" xfId="0" applyFont="1" applyFill="1" applyAlignment="1">
      <alignment horizont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43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164" fontId="19" fillId="0" borderId="0" xfId="0" applyNumberFormat="1" applyFont="1" applyFill="1"/>
    <xf numFmtId="0" fontId="19" fillId="0" borderId="0" xfId="0" applyFont="1" applyFill="1" applyAlignment="1">
      <alignment horizontal="center"/>
    </xf>
    <xf numFmtId="4" fontId="19" fillId="0" borderId="0" xfId="0" applyNumberFormat="1" applyFont="1" applyFill="1" applyAlignment="1">
      <alignment horizontal="left" vertical="center" wrapText="1"/>
    </xf>
    <xf numFmtId="164" fontId="19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left"/>
    </xf>
    <xf numFmtId="164" fontId="19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left" vertical="center"/>
    </xf>
    <xf numFmtId="0" fontId="17" fillId="0" borderId="0" xfId="0" applyFont="1" applyFill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9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justify" vertical="center" wrapText="1"/>
    </xf>
    <xf numFmtId="0" fontId="10" fillId="0" borderId="10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8" fillId="0" borderId="10" xfId="42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>
      <alignment vertical="top" wrapText="1"/>
    </xf>
    <xf numFmtId="0" fontId="13" fillId="0" borderId="10" xfId="0" applyFont="1" applyFill="1" applyBorder="1" applyAlignment="1" applyProtection="1">
      <alignment horizontal="left" vertical="top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9" fillId="0" borderId="0" xfId="0" applyFont="1" applyFill="1" applyAlignment="1">
      <alignment horizontal="left" wrapText="1"/>
    </xf>
    <xf numFmtId="164" fontId="19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left" vertical="center"/>
    </xf>
    <xf numFmtId="0" fontId="17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top" wrapText="1"/>
    </xf>
    <xf numFmtId="0" fontId="22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21" fillId="0" borderId="0" xfId="0" applyFont="1" applyFill="1" applyAlignment="1">
      <alignment horizontal="center" vertical="center" wrapText="1"/>
    </xf>
    <xf numFmtId="0" fontId="16" fillId="0" borderId="13" xfId="0" applyFont="1" applyFill="1" applyBorder="1" applyAlignment="1">
      <alignment horizontal="right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1"/>
  <sheetViews>
    <sheetView showZeros="0" tabSelected="1" view="pageBreakPreview" zoomScale="30" zoomScaleNormal="37" zoomScaleSheetLayoutView="3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:K4"/>
    </sheetView>
  </sheetViews>
  <sheetFormatPr defaultRowHeight="5.65" customHeight="1"/>
  <cols>
    <col min="1" max="1" width="86.28515625" style="5" customWidth="1"/>
    <col min="2" max="2" width="27.5703125" style="9" customWidth="1"/>
    <col min="3" max="3" width="40.5703125" style="1" customWidth="1"/>
    <col min="4" max="4" width="41.42578125" style="1" customWidth="1"/>
    <col min="5" max="5" width="22.5703125" style="9" customWidth="1"/>
    <col min="6" max="6" width="37.7109375" style="1" customWidth="1"/>
    <col min="7" max="7" width="39.28515625" style="1" customWidth="1"/>
    <col min="8" max="8" width="23.140625" style="9" customWidth="1"/>
    <col min="9" max="9" width="38" style="1" customWidth="1"/>
    <col min="10" max="10" width="42.28515625" style="1" customWidth="1"/>
    <col min="11" max="11" width="23.42578125" style="9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6"/>
      <c r="C1" s="37"/>
      <c r="D1" s="37"/>
      <c r="E1" s="36"/>
      <c r="F1" s="37"/>
      <c r="G1" s="37"/>
      <c r="H1" s="36"/>
      <c r="I1" s="70" t="s">
        <v>153</v>
      </c>
      <c r="J1" s="70"/>
      <c r="K1" s="70"/>
    </row>
    <row r="2" spans="1:13" ht="42" customHeight="1">
      <c r="A2" s="3"/>
      <c r="B2" s="36"/>
      <c r="C2" s="37"/>
      <c r="D2" s="37"/>
      <c r="E2" s="36"/>
      <c r="F2" s="37"/>
      <c r="G2" s="37"/>
      <c r="H2" s="36"/>
      <c r="I2" s="70" t="s">
        <v>154</v>
      </c>
      <c r="J2" s="70"/>
      <c r="K2" s="70"/>
    </row>
    <row r="3" spans="1:13" ht="42" customHeight="1">
      <c r="A3" s="35"/>
      <c r="B3" s="36"/>
      <c r="C3" s="37"/>
      <c r="D3" s="37"/>
      <c r="E3" s="36"/>
      <c r="F3" s="37"/>
      <c r="G3" s="37"/>
      <c r="H3" s="36"/>
      <c r="I3" s="70" t="s">
        <v>155</v>
      </c>
      <c r="J3" s="70"/>
      <c r="K3" s="70"/>
    </row>
    <row r="4" spans="1:13" ht="66" customHeight="1">
      <c r="A4" s="76" t="s">
        <v>144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66.75" customHeight="1">
      <c r="A5" s="4"/>
      <c r="B5" s="2"/>
      <c r="C5" s="2"/>
      <c r="D5" s="2"/>
      <c r="E5" s="2"/>
      <c r="F5" s="2"/>
      <c r="G5" s="2"/>
      <c r="H5" s="2"/>
      <c r="I5" s="2"/>
      <c r="J5" s="77" t="s">
        <v>108</v>
      </c>
      <c r="K5" s="77"/>
    </row>
    <row r="6" spans="1:13" ht="68.25" customHeight="1">
      <c r="A6" s="71" t="s">
        <v>0</v>
      </c>
      <c r="B6" s="74" t="s">
        <v>59</v>
      </c>
      <c r="C6" s="71" t="s">
        <v>1</v>
      </c>
      <c r="D6" s="71"/>
      <c r="E6" s="71"/>
      <c r="F6" s="71" t="s">
        <v>2</v>
      </c>
      <c r="G6" s="71"/>
      <c r="H6" s="71"/>
      <c r="I6" s="71" t="s">
        <v>3</v>
      </c>
      <c r="J6" s="71"/>
      <c r="K6" s="71"/>
    </row>
    <row r="7" spans="1:13" ht="184.5" customHeight="1">
      <c r="A7" s="71"/>
      <c r="B7" s="75"/>
      <c r="C7" s="18" t="s">
        <v>5</v>
      </c>
      <c r="D7" s="18" t="s">
        <v>4</v>
      </c>
      <c r="E7" s="18" t="s">
        <v>11</v>
      </c>
      <c r="F7" s="18" t="s">
        <v>5</v>
      </c>
      <c r="G7" s="18" t="s">
        <v>4</v>
      </c>
      <c r="H7" s="18" t="s">
        <v>12</v>
      </c>
      <c r="I7" s="18" t="s">
        <v>5</v>
      </c>
      <c r="J7" s="18" t="s">
        <v>4</v>
      </c>
      <c r="K7" s="18" t="s">
        <v>11</v>
      </c>
    </row>
    <row r="8" spans="1:13" s="5" customFormat="1" ht="63.75" customHeigh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</row>
    <row r="9" spans="1:13" ht="64.5" customHeight="1">
      <c r="A9" s="72" t="s">
        <v>16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3" ht="112.5" customHeight="1">
      <c r="A10" s="55" t="s">
        <v>17</v>
      </c>
      <c r="B10" s="32">
        <v>10000000</v>
      </c>
      <c r="C10" s="25">
        <v>3098369533</v>
      </c>
      <c r="D10" s="25">
        <v>3119077245.3099999</v>
      </c>
      <c r="E10" s="26">
        <f t="shared" ref="E10:E57" si="0">D10*100/C10</f>
        <v>100.6683422390211</v>
      </c>
      <c r="F10" s="25">
        <v>1900600</v>
      </c>
      <c r="G10" s="25">
        <v>2175092.9300000002</v>
      </c>
      <c r="H10" s="26">
        <f>G10*100/F10</f>
        <v>114.44243554666949</v>
      </c>
      <c r="I10" s="25">
        <f t="shared" ref="I10:J57" si="1">C10+F10</f>
        <v>3100270133</v>
      </c>
      <c r="J10" s="25">
        <f t="shared" ref="J10:J57" si="2">D10+G10</f>
        <v>3121252338.2399998</v>
      </c>
      <c r="K10" s="26">
        <f t="shared" ref="K10:K57" si="3">J10*100/I10</f>
        <v>100.67678635537789</v>
      </c>
    </row>
    <row r="11" spans="1:13" ht="112.5" customHeight="1">
      <c r="A11" s="55" t="s">
        <v>18</v>
      </c>
      <c r="B11" s="32">
        <v>11000000</v>
      </c>
      <c r="C11" s="25">
        <v>1886574599</v>
      </c>
      <c r="D11" s="25">
        <v>1896302166.9200001</v>
      </c>
      <c r="E11" s="26">
        <f t="shared" si="0"/>
        <v>100.51562063462299</v>
      </c>
      <c r="F11" s="56"/>
      <c r="G11" s="56"/>
      <c r="H11" s="26"/>
      <c r="I11" s="25">
        <f t="shared" si="1"/>
        <v>1886574599</v>
      </c>
      <c r="J11" s="25">
        <f t="shared" si="2"/>
        <v>1896302166.9200001</v>
      </c>
      <c r="K11" s="26">
        <f t="shared" si="3"/>
        <v>100.51562063462299</v>
      </c>
    </row>
    <row r="12" spans="1:13" ht="75" customHeight="1">
      <c r="A12" s="57" t="s">
        <v>106</v>
      </c>
      <c r="B12" s="32">
        <v>11010000</v>
      </c>
      <c r="C12" s="25">
        <v>1885393469</v>
      </c>
      <c r="D12" s="25">
        <v>1895120352.22</v>
      </c>
      <c r="E12" s="26">
        <f t="shared" si="0"/>
        <v>100.51590733605114</v>
      </c>
      <c r="F12" s="56"/>
      <c r="G12" s="56"/>
      <c r="H12" s="26"/>
      <c r="I12" s="25">
        <f t="shared" si="1"/>
        <v>1885393469</v>
      </c>
      <c r="J12" s="25">
        <f t="shared" si="2"/>
        <v>1895120352.22</v>
      </c>
      <c r="K12" s="26">
        <f t="shared" si="3"/>
        <v>100.51590733605114</v>
      </c>
    </row>
    <row r="13" spans="1:13" ht="82.5" customHeight="1">
      <c r="A13" s="23" t="s">
        <v>19</v>
      </c>
      <c r="B13" s="32">
        <v>11020000</v>
      </c>
      <c r="C13" s="25">
        <v>1181130</v>
      </c>
      <c r="D13" s="25">
        <v>1181814.7</v>
      </c>
      <c r="E13" s="26">
        <f t="shared" si="0"/>
        <v>100.05796991017077</v>
      </c>
      <c r="F13" s="56"/>
      <c r="G13" s="25"/>
      <c r="H13" s="26"/>
      <c r="I13" s="25">
        <f t="shared" si="1"/>
        <v>1181130</v>
      </c>
      <c r="J13" s="25">
        <f t="shared" si="2"/>
        <v>1181814.7</v>
      </c>
      <c r="K13" s="26">
        <f t="shared" si="3"/>
        <v>100.05796991017077</v>
      </c>
      <c r="L13" s="15"/>
      <c r="M13" s="15"/>
    </row>
    <row r="14" spans="1:13" ht="131.25" customHeight="1">
      <c r="A14" s="58" t="s">
        <v>90</v>
      </c>
      <c r="B14" s="32">
        <v>13000000</v>
      </c>
      <c r="C14" s="25">
        <v>56400</v>
      </c>
      <c r="D14" s="25">
        <v>62514.73</v>
      </c>
      <c r="E14" s="26">
        <f t="shared" si="0"/>
        <v>110.84171985815603</v>
      </c>
      <c r="F14" s="56"/>
      <c r="G14" s="25"/>
      <c r="H14" s="26"/>
      <c r="I14" s="25">
        <f t="shared" si="1"/>
        <v>56400</v>
      </c>
      <c r="J14" s="25">
        <f t="shared" si="2"/>
        <v>62514.73</v>
      </c>
      <c r="K14" s="26">
        <f t="shared" si="3"/>
        <v>110.84171985815603</v>
      </c>
    </row>
    <row r="15" spans="1:13" ht="89.25" customHeight="1">
      <c r="A15" s="55" t="s">
        <v>20</v>
      </c>
      <c r="B15" s="32">
        <v>14000000</v>
      </c>
      <c r="C15" s="25">
        <v>362005000</v>
      </c>
      <c r="D15" s="25">
        <v>365939596.42000002</v>
      </c>
      <c r="E15" s="26">
        <f t="shared" si="0"/>
        <v>101.08689007610393</v>
      </c>
      <c r="F15" s="56"/>
      <c r="G15" s="56"/>
      <c r="H15" s="26"/>
      <c r="I15" s="25">
        <f t="shared" si="1"/>
        <v>362005000</v>
      </c>
      <c r="J15" s="25">
        <f t="shared" si="2"/>
        <v>365939596.42000002</v>
      </c>
      <c r="K15" s="26">
        <f t="shared" si="3"/>
        <v>101.08689007610393</v>
      </c>
    </row>
    <row r="16" spans="1:13" ht="85.5" customHeight="1">
      <c r="A16" s="55" t="s">
        <v>21</v>
      </c>
      <c r="B16" s="32">
        <v>18000000</v>
      </c>
      <c r="C16" s="25">
        <v>849733534</v>
      </c>
      <c r="D16" s="25">
        <v>856772967.24000001</v>
      </c>
      <c r="E16" s="26">
        <f t="shared" si="0"/>
        <v>100.82842831997731</v>
      </c>
      <c r="F16" s="56"/>
      <c r="G16" s="25"/>
      <c r="H16" s="26"/>
      <c r="I16" s="25">
        <f t="shared" si="1"/>
        <v>849733534</v>
      </c>
      <c r="J16" s="25">
        <f t="shared" si="2"/>
        <v>856772967.24000001</v>
      </c>
      <c r="K16" s="26">
        <f t="shared" si="3"/>
        <v>100.82842831997731</v>
      </c>
    </row>
    <row r="17" spans="1:12" ht="93" customHeight="1">
      <c r="A17" s="23" t="s">
        <v>22</v>
      </c>
      <c r="B17" s="32">
        <v>19000000</v>
      </c>
      <c r="C17" s="25"/>
      <c r="D17" s="25"/>
      <c r="E17" s="26"/>
      <c r="F17" s="25">
        <v>1900600</v>
      </c>
      <c r="G17" s="25">
        <v>2175092.9300000002</v>
      </c>
      <c r="H17" s="26">
        <f t="shared" ref="H17:H57" si="4">G17*100/F17</f>
        <v>114.44243554666949</v>
      </c>
      <c r="I17" s="25">
        <f t="shared" si="1"/>
        <v>1900600</v>
      </c>
      <c r="J17" s="25">
        <f t="shared" si="2"/>
        <v>2175092.9300000002</v>
      </c>
      <c r="K17" s="26">
        <f t="shared" si="3"/>
        <v>114.44243554666949</v>
      </c>
    </row>
    <row r="18" spans="1:12" ht="81" customHeight="1">
      <c r="A18" s="23" t="s">
        <v>23</v>
      </c>
      <c r="B18" s="32">
        <v>19010000</v>
      </c>
      <c r="C18" s="25"/>
      <c r="D18" s="25"/>
      <c r="E18" s="26"/>
      <c r="F18" s="25">
        <v>1900600</v>
      </c>
      <c r="G18" s="25">
        <v>2175092.9300000002</v>
      </c>
      <c r="H18" s="26">
        <f t="shared" si="4"/>
        <v>114.44243554666949</v>
      </c>
      <c r="I18" s="25">
        <f t="shared" si="1"/>
        <v>1900600</v>
      </c>
      <c r="J18" s="25">
        <f t="shared" si="2"/>
        <v>2175092.9300000002</v>
      </c>
      <c r="K18" s="26">
        <f t="shared" si="3"/>
        <v>114.44243554666949</v>
      </c>
      <c r="L18" s="15"/>
    </row>
    <row r="19" spans="1:12" ht="74.25" customHeight="1">
      <c r="A19" s="55" t="s">
        <v>24</v>
      </c>
      <c r="B19" s="32">
        <v>20000000</v>
      </c>
      <c r="C19" s="25">
        <v>84859938.689999998</v>
      </c>
      <c r="D19" s="25">
        <v>84749075.739999995</v>
      </c>
      <c r="E19" s="26">
        <f t="shared" si="0"/>
        <v>99.869357730265392</v>
      </c>
      <c r="F19" s="25">
        <v>241694830</v>
      </c>
      <c r="G19" s="25">
        <v>293064866.97000003</v>
      </c>
      <c r="H19" s="26">
        <f t="shared" si="4"/>
        <v>121.25409011438103</v>
      </c>
      <c r="I19" s="25">
        <f t="shared" si="1"/>
        <v>326554768.69</v>
      </c>
      <c r="J19" s="25">
        <f t="shared" si="2"/>
        <v>377813942.71000004</v>
      </c>
      <c r="K19" s="26">
        <f t="shared" si="3"/>
        <v>115.69696079638652</v>
      </c>
    </row>
    <row r="20" spans="1:12" ht="94.5" customHeight="1">
      <c r="A20" s="55" t="s">
        <v>25</v>
      </c>
      <c r="B20" s="32">
        <v>21000000</v>
      </c>
      <c r="C20" s="25">
        <v>42755809</v>
      </c>
      <c r="D20" s="25">
        <v>41680388.899999999</v>
      </c>
      <c r="E20" s="26">
        <f t="shared" si="0"/>
        <v>97.484739208185729</v>
      </c>
      <c r="F20" s="25"/>
      <c r="G20" s="25"/>
      <c r="H20" s="26"/>
      <c r="I20" s="25">
        <f t="shared" si="1"/>
        <v>42755809</v>
      </c>
      <c r="J20" s="25">
        <f t="shared" si="2"/>
        <v>41680388.899999999</v>
      </c>
      <c r="K20" s="26">
        <f t="shared" si="3"/>
        <v>97.484739208185729</v>
      </c>
    </row>
    <row r="21" spans="1:12" ht="92.25" customHeight="1">
      <c r="A21" s="55" t="s">
        <v>26</v>
      </c>
      <c r="B21" s="32">
        <v>22000000</v>
      </c>
      <c r="C21" s="25">
        <v>33704129.689999998</v>
      </c>
      <c r="D21" s="25">
        <v>33267142.649999999</v>
      </c>
      <c r="E21" s="26">
        <f t="shared" si="0"/>
        <v>98.70346143330427</v>
      </c>
      <c r="F21" s="56"/>
      <c r="G21" s="56"/>
      <c r="H21" s="26"/>
      <c r="I21" s="25">
        <f t="shared" si="1"/>
        <v>33704129.689999998</v>
      </c>
      <c r="J21" s="25">
        <f t="shared" si="2"/>
        <v>33267142.649999999</v>
      </c>
      <c r="K21" s="26">
        <f t="shared" si="3"/>
        <v>98.70346143330427</v>
      </c>
    </row>
    <row r="22" spans="1:12" ht="81.75" customHeight="1">
      <c r="A22" s="23" t="s">
        <v>27</v>
      </c>
      <c r="B22" s="32">
        <v>24000000</v>
      </c>
      <c r="C22" s="25">
        <v>8400000</v>
      </c>
      <c r="D22" s="25">
        <v>9801544.1899999995</v>
      </c>
      <c r="E22" s="26">
        <f t="shared" si="0"/>
        <v>116.68504988095238</v>
      </c>
      <c r="F22" s="25">
        <v>35000</v>
      </c>
      <c r="G22" s="25">
        <v>66736.03</v>
      </c>
      <c r="H22" s="26">
        <f t="shared" si="4"/>
        <v>190.67437142857142</v>
      </c>
      <c r="I22" s="25">
        <f t="shared" si="1"/>
        <v>8435000</v>
      </c>
      <c r="J22" s="25">
        <f t="shared" si="2"/>
        <v>9868280.2199999988</v>
      </c>
      <c r="K22" s="26">
        <f t="shared" si="3"/>
        <v>116.99205951393004</v>
      </c>
    </row>
    <row r="23" spans="1:12" ht="108.75" customHeight="1">
      <c r="A23" s="55" t="s">
        <v>28</v>
      </c>
      <c r="B23" s="32">
        <v>24110000</v>
      </c>
      <c r="C23" s="25"/>
      <c r="D23" s="25"/>
      <c r="E23" s="26"/>
      <c r="F23" s="25">
        <v>35000</v>
      </c>
      <c r="G23" s="25">
        <v>23255.279999999999</v>
      </c>
      <c r="H23" s="26">
        <f t="shared" si="4"/>
        <v>66.443657142857148</v>
      </c>
      <c r="I23" s="25">
        <f t="shared" si="1"/>
        <v>35000</v>
      </c>
      <c r="J23" s="25">
        <f t="shared" si="2"/>
        <v>23255.279999999999</v>
      </c>
      <c r="K23" s="26">
        <f t="shared" si="3"/>
        <v>66.443657142857148</v>
      </c>
    </row>
    <row r="24" spans="1:12" ht="64.5" customHeight="1">
      <c r="A24" s="55" t="s">
        <v>152</v>
      </c>
      <c r="B24" s="60">
        <v>24060000</v>
      </c>
      <c r="C24" s="25"/>
      <c r="D24" s="25"/>
      <c r="E24" s="26"/>
      <c r="F24" s="25"/>
      <c r="G24" s="25">
        <v>43480.75</v>
      </c>
      <c r="H24" s="26"/>
      <c r="I24" s="25"/>
      <c r="J24" s="25">
        <f t="shared" si="2"/>
        <v>43480.75</v>
      </c>
      <c r="K24" s="26"/>
    </row>
    <row r="25" spans="1:12" ht="70.5" customHeight="1">
      <c r="A25" s="59" t="s">
        <v>29</v>
      </c>
      <c r="B25" s="60">
        <v>25000000</v>
      </c>
      <c r="C25" s="25"/>
      <c r="D25" s="25"/>
      <c r="E25" s="26"/>
      <c r="F25" s="25">
        <v>241659830</v>
      </c>
      <c r="G25" s="25">
        <v>292998130.94</v>
      </c>
      <c r="H25" s="26">
        <f t="shared" si="4"/>
        <v>121.24403585817304</v>
      </c>
      <c r="I25" s="25">
        <f t="shared" si="1"/>
        <v>241659830</v>
      </c>
      <c r="J25" s="25">
        <f t="shared" si="2"/>
        <v>292998130.94</v>
      </c>
      <c r="K25" s="26">
        <f t="shared" si="3"/>
        <v>121.24403585817304</v>
      </c>
    </row>
    <row r="26" spans="1:12" ht="89.25" customHeight="1">
      <c r="A26" s="23" t="s">
        <v>30</v>
      </c>
      <c r="B26" s="32">
        <v>30000000</v>
      </c>
      <c r="C26" s="25">
        <v>106000</v>
      </c>
      <c r="D26" s="25">
        <v>106437.9</v>
      </c>
      <c r="E26" s="26">
        <f t="shared" si="0"/>
        <v>100.41311320754717</v>
      </c>
      <c r="F26" s="25">
        <v>25302466</v>
      </c>
      <c r="G26" s="25">
        <v>27129804.809999999</v>
      </c>
      <c r="H26" s="26">
        <f t="shared" si="4"/>
        <v>107.22197911460488</v>
      </c>
      <c r="I26" s="25">
        <f t="shared" si="1"/>
        <v>25408466</v>
      </c>
      <c r="J26" s="25">
        <f t="shared" si="2"/>
        <v>27236242.709999997</v>
      </c>
      <c r="K26" s="26">
        <f t="shared" si="3"/>
        <v>107.19357363014358</v>
      </c>
      <c r="L26" s="15"/>
    </row>
    <row r="27" spans="1:12" ht="103.5" customHeight="1">
      <c r="A27" s="58" t="s">
        <v>31</v>
      </c>
      <c r="B27" s="32">
        <v>31000000</v>
      </c>
      <c r="C27" s="25">
        <v>106000</v>
      </c>
      <c r="D27" s="25">
        <v>106437.9</v>
      </c>
      <c r="E27" s="26">
        <f t="shared" si="0"/>
        <v>100.41311320754717</v>
      </c>
      <c r="F27" s="25">
        <v>10104779</v>
      </c>
      <c r="G27" s="25">
        <v>10104779.869999999</v>
      </c>
      <c r="H27" s="26">
        <f t="shared" si="4"/>
        <v>100.0000086097875</v>
      </c>
      <c r="I27" s="25">
        <f t="shared" si="1"/>
        <v>10210779</v>
      </c>
      <c r="J27" s="25">
        <f t="shared" si="2"/>
        <v>10211217.77</v>
      </c>
      <c r="K27" s="26">
        <f t="shared" si="3"/>
        <v>100.00429712561598</v>
      </c>
      <c r="L27" s="15"/>
    </row>
    <row r="28" spans="1:12" ht="93.75" customHeight="1">
      <c r="A28" s="58" t="s">
        <v>32</v>
      </c>
      <c r="B28" s="32">
        <v>33000000</v>
      </c>
      <c r="C28" s="25"/>
      <c r="D28" s="25"/>
      <c r="E28" s="26"/>
      <c r="F28" s="25">
        <v>15197687</v>
      </c>
      <c r="G28" s="25">
        <v>17025024.940000001</v>
      </c>
      <c r="H28" s="26">
        <f t="shared" si="4"/>
        <v>112.02378980433011</v>
      </c>
      <c r="I28" s="25">
        <f t="shared" si="1"/>
        <v>15197687</v>
      </c>
      <c r="J28" s="25">
        <f t="shared" si="2"/>
        <v>17025024.940000001</v>
      </c>
      <c r="K28" s="26">
        <f t="shared" si="3"/>
        <v>112.02378980433011</v>
      </c>
    </row>
    <row r="29" spans="1:12" ht="177" customHeight="1">
      <c r="A29" s="55" t="s">
        <v>89</v>
      </c>
      <c r="B29" s="32">
        <v>50110000</v>
      </c>
      <c r="C29" s="25"/>
      <c r="D29" s="25"/>
      <c r="E29" s="26"/>
      <c r="F29" s="25">
        <v>3510230</v>
      </c>
      <c r="G29" s="25">
        <v>3216121.45</v>
      </c>
      <c r="H29" s="26">
        <f t="shared" si="4"/>
        <v>91.621388057192831</v>
      </c>
      <c r="I29" s="25">
        <f t="shared" si="1"/>
        <v>3510230</v>
      </c>
      <c r="J29" s="25">
        <f t="shared" si="2"/>
        <v>3216121.45</v>
      </c>
      <c r="K29" s="26">
        <f t="shared" si="3"/>
        <v>91.621388057192831</v>
      </c>
    </row>
    <row r="30" spans="1:12" ht="114.75" customHeight="1">
      <c r="A30" s="32" t="s">
        <v>33</v>
      </c>
      <c r="B30" s="32">
        <v>90010100</v>
      </c>
      <c r="C30" s="25">
        <v>3183335471.6900001</v>
      </c>
      <c r="D30" s="25">
        <f>D10+D19+D26</f>
        <v>3203932758.9499998</v>
      </c>
      <c r="E30" s="26">
        <f t="shared" si="0"/>
        <v>100.64703476724887</v>
      </c>
      <c r="F30" s="25">
        <f>F10+F19+F26+F29</f>
        <v>272408126</v>
      </c>
      <c r="G30" s="25">
        <f>G10+G19+G26+G29</f>
        <v>325585886.16000003</v>
      </c>
      <c r="H30" s="26">
        <f t="shared" si="4"/>
        <v>119.52135604060506</v>
      </c>
      <c r="I30" s="25">
        <f t="shared" si="1"/>
        <v>3455743597.6900001</v>
      </c>
      <c r="J30" s="25">
        <f t="shared" si="2"/>
        <v>3529518645.1099997</v>
      </c>
      <c r="K30" s="26">
        <f t="shared" si="3"/>
        <v>102.13485304492249</v>
      </c>
    </row>
    <row r="31" spans="1:12" ht="118.5" customHeight="1">
      <c r="A31" s="23" t="s">
        <v>34</v>
      </c>
      <c r="B31" s="32">
        <v>40000000</v>
      </c>
      <c r="C31" s="25">
        <v>923568640.44000006</v>
      </c>
      <c r="D31" s="25">
        <v>905671235.75999999</v>
      </c>
      <c r="E31" s="26">
        <f t="shared" si="0"/>
        <v>98.062146775417418</v>
      </c>
      <c r="F31" s="25">
        <v>418533056.99000001</v>
      </c>
      <c r="G31" s="25">
        <v>344431940.25</v>
      </c>
      <c r="H31" s="26">
        <f t="shared" si="4"/>
        <v>82.295038467709247</v>
      </c>
      <c r="I31" s="25">
        <f t="shared" si="1"/>
        <v>1342101697.4300001</v>
      </c>
      <c r="J31" s="25">
        <f t="shared" si="2"/>
        <v>1250103176.01</v>
      </c>
      <c r="K31" s="26">
        <f t="shared" si="3"/>
        <v>93.145189995946751</v>
      </c>
    </row>
    <row r="32" spans="1:12" ht="118.5" customHeight="1">
      <c r="A32" s="23" t="s">
        <v>63</v>
      </c>
      <c r="B32" s="32">
        <v>41030000</v>
      </c>
      <c r="C32" s="25">
        <v>655903400</v>
      </c>
      <c r="D32" s="25">
        <v>638094184.13</v>
      </c>
      <c r="E32" s="26">
        <f t="shared" si="0"/>
        <v>97.28478067502013</v>
      </c>
      <c r="F32" s="25">
        <v>154254137</v>
      </c>
      <c r="G32" s="25">
        <v>94137682.680000007</v>
      </c>
      <c r="H32" s="26">
        <f t="shared" si="4"/>
        <v>61.02765508324746</v>
      </c>
      <c r="I32" s="25">
        <f t="shared" si="1"/>
        <v>810157537</v>
      </c>
      <c r="J32" s="25">
        <f t="shared" si="1"/>
        <v>732231866.80999994</v>
      </c>
      <c r="K32" s="26">
        <f t="shared" si="3"/>
        <v>90.381417609400089</v>
      </c>
    </row>
    <row r="33" spans="1:11" ht="103.5" hidden="1" customHeight="1">
      <c r="A33" s="61" t="s">
        <v>111</v>
      </c>
      <c r="B33" s="32">
        <v>41033100</v>
      </c>
      <c r="C33" s="25"/>
      <c r="D33" s="25"/>
      <c r="E33" s="26" t="e">
        <f t="shared" si="0"/>
        <v>#DIV/0!</v>
      </c>
      <c r="F33" s="25"/>
      <c r="G33" s="25"/>
      <c r="H33" s="26" t="e">
        <f t="shared" si="4"/>
        <v>#DIV/0!</v>
      </c>
      <c r="I33" s="25">
        <f t="shared" si="1"/>
        <v>0</v>
      </c>
      <c r="J33" s="25">
        <f t="shared" si="2"/>
        <v>0</v>
      </c>
      <c r="K33" s="26" t="e">
        <f t="shared" si="3"/>
        <v>#DIV/0!</v>
      </c>
    </row>
    <row r="34" spans="1:11" ht="228.75" customHeight="1">
      <c r="A34" s="23" t="s">
        <v>123</v>
      </c>
      <c r="B34" s="32">
        <v>41031700</v>
      </c>
      <c r="C34" s="25"/>
      <c r="D34" s="25"/>
      <c r="E34" s="26"/>
      <c r="F34" s="25">
        <v>59948000</v>
      </c>
      <c r="G34" s="25">
        <v>57786599.479999997</v>
      </c>
      <c r="H34" s="26">
        <f t="shared" si="4"/>
        <v>96.394541068926401</v>
      </c>
      <c r="I34" s="25">
        <f t="shared" si="1"/>
        <v>59948000</v>
      </c>
      <c r="J34" s="25">
        <f t="shared" si="2"/>
        <v>57786599.479999997</v>
      </c>
      <c r="K34" s="26">
        <f t="shared" si="3"/>
        <v>96.394541068926401</v>
      </c>
    </row>
    <row r="35" spans="1:11" ht="175.5" customHeight="1">
      <c r="A35" s="23" t="s">
        <v>132</v>
      </c>
      <c r="B35" s="32">
        <v>41033100</v>
      </c>
      <c r="C35" s="25"/>
      <c r="D35" s="25"/>
      <c r="E35" s="26"/>
      <c r="F35" s="25">
        <v>64843037</v>
      </c>
      <c r="G35" s="25">
        <v>6887983.2000000002</v>
      </c>
      <c r="H35" s="26">
        <f t="shared" si="4"/>
        <v>10.622548724853834</v>
      </c>
      <c r="I35" s="25">
        <f t="shared" si="1"/>
        <v>64843037</v>
      </c>
      <c r="J35" s="25">
        <f t="shared" si="2"/>
        <v>6887983.2000000002</v>
      </c>
      <c r="K35" s="26">
        <f t="shared" si="3"/>
        <v>10.622548724853834</v>
      </c>
    </row>
    <row r="36" spans="1:11" ht="175.5" customHeight="1">
      <c r="A36" s="23" t="s">
        <v>145</v>
      </c>
      <c r="B36" s="32">
        <v>41033300</v>
      </c>
      <c r="C36" s="25">
        <v>26178300</v>
      </c>
      <c r="D36" s="25">
        <v>11414689.18</v>
      </c>
      <c r="E36" s="26"/>
      <c r="F36" s="25">
        <v>29463100</v>
      </c>
      <c r="G36" s="25">
        <v>29463100</v>
      </c>
      <c r="H36" s="26">
        <f t="shared" si="4"/>
        <v>100</v>
      </c>
      <c r="I36" s="25">
        <f t="shared" si="1"/>
        <v>55641400</v>
      </c>
      <c r="J36" s="25">
        <f t="shared" si="2"/>
        <v>40877789.18</v>
      </c>
      <c r="K36" s="26">
        <f t="shared" si="3"/>
        <v>73.466500088063924</v>
      </c>
    </row>
    <row r="37" spans="1:11" ht="222.75" customHeight="1">
      <c r="A37" s="23" t="s">
        <v>138</v>
      </c>
      <c r="B37" s="32">
        <v>41033500</v>
      </c>
      <c r="C37" s="25">
        <v>11930900</v>
      </c>
      <c r="D37" s="25">
        <v>8885294.9499999993</v>
      </c>
      <c r="E37" s="26">
        <f t="shared" si="0"/>
        <v>74.472964738619879</v>
      </c>
      <c r="F37" s="25"/>
      <c r="G37" s="25"/>
      <c r="H37" s="26"/>
      <c r="I37" s="25">
        <f t="shared" si="1"/>
        <v>11930900</v>
      </c>
      <c r="J37" s="25">
        <f t="shared" si="2"/>
        <v>8885294.9499999993</v>
      </c>
      <c r="K37" s="26">
        <f t="shared" si="3"/>
        <v>74.472964738619879</v>
      </c>
    </row>
    <row r="38" spans="1:11" ht="182.25" customHeight="1">
      <c r="A38" s="23" t="s">
        <v>129</v>
      </c>
      <c r="B38" s="32">
        <v>41033800</v>
      </c>
      <c r="C38" s="25">
        <v>3851200</v>
      </c>
      <c r="D38" s="25">
        <v>3851200</v>
      </c>
      <c r="E38" s="26">
        <f t="shared" si="0"/>
        <v>100</v>
      </c>
      <c r="F38" s="25"/>
      <c r="G38" s="25"/>
      <c r="H38" s="26"/>
      <c r="I38" s="25">
        <f t="shared" si="1"/>
        <v>3851200</v>
      </c>
      <c r="J38" s="25">
        <f t="shared" si="2"/>
        <v>3851200</v>
      </c>
      <c r="K38" s="26">
        <f t="shared" si="3"/>
        <v>100</v>
      </c>
    </row>
    <row r="39" spans="1:11" ht="123" customHeight="1">
      <c r="A39" s="55" t="s">
        <v>35</v>
      </c>
      <c r="B39" s="32">
        <v>41033900</v>
      </c>
      <c r="C39" s="25">
        <v>613943000</v>
      </c>
      <c r="D39" s="25">
        <v>613943000</v>
      </c>
      <c r="E39" s="26">
        <f t="shared" si="0"/>
        <v>100</v>
      </c>
      <c r="F39" s="56"/>
      <c r="G39" s="56"/>
      <c r="H39" s="26"/>
      <c r="I39" s="25">
        <f t="shared" si="1"/>
        <v>613943000</v>
      </c>
      <c r="J39" s="25">
        <f t="shared" si="2"/>
        <v>613943000</v>
      </c>
      <c r="K39" s="26">
        <f t="shared" si="3"/>
        <v>100</v>
      </c>
    </row>
    <row r="40" spans="1:11" ht="72.75" hidden="1" customHeight="1">
      <c r="A40" s="55" t="s">
        <v>109</v>
      </c>
      <c r="B40" s="32">
        <v>41040000</v>
      </c>
      <c r="C40" s="25">
        <f>C41</f>
        <v>0</v>
      </c>
      <c r="D40" s="25">
        <f>D41</f>
        <v>0</v>
      </c>
      <c r="E40" s="26" t="e">
        <f t="shared" si="0"/>
        <v>#DIV/0!</v>
      </c>
      <c r="F40" s="56"/>
      <c r="G40" s="56"/>
      <c r="H40" s="26" t="e">
        <f t="shared" si="4"/>
        <v>#DIV/0!</v>
      </c>
      <c r="I40" s="25">
        <f t="shared" si="1"/>
        <v>0</v>
      </c>
      <c r="J40" s="25">
        <f t="shared" si="2"/>
        <v>0</v>
      </c>
      <c r="K40" s="26" t="e">
        <f t="shared" si="3"/>
        <v>#DIV/0!</v>
      </c>
    </row>
    <row r="41" spans="1:11" ht="54.75" hidden="1" customHeight="1">
      <c r="A41" s="55" t="s">
        <v>110</v>
      </c>
      <c r="B41" s="32">
        <v>41040400</v>
      </c>
      <c r="C41" s="25"/>
      <c r="D41" s="25"/>
      <c r="E41" s="26" t="e">
        <f t="shared" si="0"/>
        <v>#DIV/0!</v>
      </c>
      <c r="F41" s="56"/>
      <c r="G41" s="56"/>
      <c r="H41" s="26" t="e">
        <f t="shared" si="4"/>
        <v>#DIV/0!</v>
      </c>
      <c r="I41" s="25">
        <f t="shared" si="1"/>
        <v>0</v>
      </c>
      <c r="J41" s="25">
        <f t="shared" si="2"/>
        <v>0</v>
      </c>
      <c r="K41" s="26" t="e">
        <f t="shared" si="3"/>
        <v>#DIV/0!</v>
      </c>
    </row>
    <row r="42" spans="1:11" ht="183.75" customHeight="1">
      <c r="A42" s="23" t="s">
        <v>64</v>
      </c>
      <c r="B42" s="32">
        <v>41050000</v>
      </c>
      <c r="C42" s="25">
        <v>267665240.44</v>
      </c>
      <c r="D42" s="25">
        <v>267577051.63</v>
      </c>
      <c r="E42" s="26">
        <f t="shared" si="0"/>
        <v>99.967052572887297</v>
      </c>
      <c r="F42" s="25">
        <v>14514819</v>
      </c>
      <c r="G42" s="25">
        <v>14512959</v>
      </c>
      <c r="H42" s="26">
        <f t="shared" si="4"/>
        <v>99.987185510201684</v>
      </c>
      <c r="I42" s="25">
        <f t="shared" si="1"/>
        <v>282180059.44</v>
      </c>
      <c r="J42" s="25">
        <f t="shared" si="2"/>
        <v>282090010.63</v>
      </c>
      <c r="K42" s="26">
        <f t="shared" si="3"/>
        <v>99.968088173849452</v>
      </c>
    </row>
    <row r="43" spans="1:11" ht="409.6" customHeight="1">
      <c r="A43" s="23" t="s">
        <v>139</v>
      </c>
      <c r="B43" s="32">
        <v>41050400</v>
      </c>
      <c r="C43" s="25">
        <v>168672641.66999999</v>
      </c>
      <c r="D43" s="25">
        <v>168672641.66999999</v>
      </c>
      <c r="E43" s="26">
        <f t="shared" si="0"/>
        <v>100</v>
      </c>
      <c r="F43" s="25"/>
      <c r="G43" s="25"/>
      <c r="H43" s="26"/>
      <c r="I43" s="25">
        <f t="shared" si="1"/>
        <v>168672641.66999999</v>
      </c>
      <c r="J43" s="25">
        <f t="shared" si="2"/>
        <v>168672641.66999999</v>
      </c>
      <c r="K43" s="26">
        <f t="shared" si="3"/>
        <v>100</v>
      </c>
    </row>
    <row r="44" spans="1:11" ht="409.6" customHeight="1">
      <c r="A44" s="23" t="s">
        <v>140</v>
      </c>
      <c r="B44" s="32">
        <v>41050500</v>
      </c>
      <c r="C44" s="25">
        <v>20313632.050000001</v>
      </c>
      <c r="D44" s="25">
        <v>20261443.800000001</v>
      </c>
      <c r="E44" s="26">
        <f t="shared" si="0"/>
        <v>99.743087548934895</v>
      </c>
      <c r="F44" s="25"/>
      <c r="G44" s="25"/>
      <c r="H44" s="26"/>
      <c r="I44" s="25">
        <f t="shared" si="1"/>
        <v>20313632.050000001</v>
      </c>
      <c r="J44" s="25">
        <f t="shared" si="2"/>
        <v>20261443.800000001</v>
      </c>
      <c r="K44" s="26">
        <f t="shared" si="3"/>
        <v>99.743087548934895</v>
      </c>
    </row>
    <row r="45" spans="1:11" ht="409.6" customHeight="1">
      <c r="A45" s="62" t="s">
        <v>141</v>
      </c>
      <c r="B45" s="32">
        <v>41050600</v>
      </c>
      <c r="C45" s="25">
        <v>32690043.600000001</v>
      </c>
      <c r="D45" s="25">
        <v>32689773.600000001</v>
      </c>
      <c r="E45" s="26">
        <f t="shared" si="0"/>
        <v>99.999174060446947</v>
      </c>
      <c r="F45" s="25"/>
      <c r="G45" s="25"/>
      <c r="H45" s="26"/>
      <c r="I45" s="25">
        <f t="shared" si="1"/>
        <v>32690043.600000001</v>
      </c>
      <c r="J45" s="25">
        <f t="shared" si="2"/>
        <v>32689773.600000001</v>
      </c>
      <c r="K45" s="26">
        <f t="shared" si="3"/>
        <v>99.999174060446947</v>
      </c>
    </row>
    <row r="46" spans="1:11" ht="135.75" customHeight="1">
      <c r="A46" s="58" t="s">
        <v>124</v>
      </c>
      <c r="B46" s="32">
        <v>41051000</v>
      </c>
      <c r="C46" s="25">
        <v>16116850</v>
      </c>
      <c r="D46" s="25">
        <v>16116850</v>
      </c>
      <c r="E46" s="26">
        <f t="shared" si="0"/>
        <v>100</v>
      </c>
      <c r="F46" s="56"/>
      <c r="G46" s="56"/>
      <c r="H46" s="26"/>
      <c r="I46" s="25">
        <f t="shared" si="1"/>
        <v>16116850</v>
      </c>
      <c r="J46" s="25">
        <f t="shared" si="2"/>
        <v>16116850</v>
      </c>
      <c r="K46" s="26">
        <f t="shared" si="3"/>
        <v>100</v>
      </c>
    </row>
    <row r="47" spans="1:11" ht="90.75" hidden="1" customHeight="1">
      <c r="A47" s="55" t="s">
        <v>112</v>
      </c>
      <c r="B47" s="32">
        <v>41051100</v>
      </c>
      <c r="C47" s="25"/>
      <c r="D47" s="25"/>
      <c r="E47" s="26" t="e">
        <f t="shared" si="0"/>
        <v>#DIV/0!</v>
      </c>
      <c r="F47" s="56"/>
      <c r="G47" s="56"/>
      <c r="H47" s="26" t="e">
        <f t="shared" si="4"/>
        <v>#DIV/0!</v>
      </c>
      <c r="I47" s="25">
        <f t="shared" si="1"/>
        <v>0</v>
      </c>
      <c r="J47" s="25">
        <f t="shared" si="2"/>
        <v>0</v>
      </c>
      <c r="K47" s="26" t="e">
        <f t="shared" si="3"/>
        <v>#DIV/0!</v>
      </c>
    </row>
    <row r="48" spans="1:11" ht="128.25" customHeight="1">
      <c r="A48" s="58" t="s">
        <v>112</v>
      </c>
      <c r="B48" s="32">
        <v>41051100</v>
      </c>
      <c r="C48" s="25"/>
      <c r="D48" s="25"/>
      <c r="E48" s="26"/>
      <c r="F48" s="25">
        <v>12985819</v>
      </c>
      <c r="G48" s="25">
        <v>12985819</v>
      </c>
      <c r="H48" s="26">
        <f t="shared" si="4"/>
        <v>100</v>
      </c>
      <c r="I48" s="25">
        <f t="shared" si="1"/>
        <v>12985819</v>
      </c>
      <c r="J48" s="25">
        <f t="shared" si="2"/>
        <v>12985819</v>
      </c>
      <c r="K48" s="26">
        <f t="shared" si="3"/>
        <v>100</v>
      </c>
    </row>
    <row r="49" spans="1:14" ht="155.25" customHeight="1">
      <c r="A49" s="58" t="s">
        <v>130</v>
      </c>
      <c r="B49" s="32">
        <v>41051200</v>
      </c>
      <c r="C49" s="25">
        <v>5302204</v>
      </c>
      <c r="D49" s="25">
        <v>5302204</v>
      </c>
      <c r="E49" s="26">
        <f t="shared" si="0"/>
        <v>100</v>
      </c>
      <c r="F49" s="56"/>
      <c r="G49" s="56"/>
      <c r="H49" s="26"/>
      <c r="I49" s="25">
        <f t="shared" si="1"/>
        <v>5302204</v>
      </c>
      <c r="J49" s="25">
        <f t="shared" si="2"/>
        <v>5302204</v>
      </c>
      <c r="K49" s="26">
        <f t="shared" si="3"/>
        <v>100</v>
      </c>
    </row>
    <row r="50" spans="1:14" ht="162.75" customHeight="1">
      <c r="A50" s="58" t="s">
        <v>142</v>
      </c>
      <c r="B50" s="32">
        <v>41051400</v>
      </c>
      <c r="C50" s="25">
        <v>10223829</v>
      </c>
      <c r="D50" s="25">
        <v>10223829</v>
      </c>
      <c r="E50" s="26">
        <f t="shared" si="0"/>
        <v>100</v>
      </c>
      <c r="F50" s="56"/>
      <c r="G50" s="56"/>
      <c r="H50" s="26"/>
      <c r="I50" s="25">
        <f t="shared" si="1"/>
        <v>10223829</v>
      </c>
      <c r="J50" s="25">
        <f t="shared" si="2"/>
        <v>10223829</v>
      </c>
      <c r="K50" s="26">
        <f t="shared" si="3"/>
        <v>100</v>
      </c>
    </row>
    <row r="51" spans="1:14" ht="162.75" customHeight="1">
      <c r="A51" s="58" t="s">
        <v>131</v>
      </c>
      <c r="B51" s="32">
        <v>41051700</v>
      </c>
      <c r="C51" s="25">
        <v>200850.12</v>
      </c>
      <c r="D51" s="25">
        <v>200850.12</v>
      </c>
      <c r="E51" s="26">
        <f t="shared" si="0"/>
        <v>100</v>
      </c>
      <c r="F51" s="56"/>
      <c r="G51" s="56"/>
      <c r="H51" s="26"/>
      <c r="I51" s="25">
        <f t="shared" si="1"/>
        <v>200850.12</v>
      </c>
      <c r="J51" s="25">
        <f t="shared" si="2"/>
        <v>200850.12</v>
      </c>
      <c r="K51" s="26">
        <f t="shared" si="3"/>
        <v>100</v>
      </c>
    </row>
    <row r="52" spans="1:14" ht="69.75" customHeight="1">
      <c r="A52" s="58" t="s">
        <v>62</v>
      </c>
      <c r="B52" s="32">
        <v>41053900</v>
      </c>
      <c r="C52" s="25">
        <v>14088578</v>
      </c>
      <c r="D52" s="25">
        <v>14074368.01</v>
      </c>
      <c r="E52" s="26">
        <f t="shared" si="0"/>
        <v>99.899138223886041</v>
      </c>
      <c r="F52" s="25">
        <v>1529000</v>
      </c>
      <c r="G52" s="25">
        <v>1527140</v>
      </c>
      <c r="H52" s="26">
        <f t="shared" si="4"/>
        <v>99.878351863963374</v>
      </c>
      <c r="I52" s="25">
        <f t="shared" si="1"/>
        <v>15617578</v>
      </c>
      <c r="J52" s="25">
        <f t="shared" si="2"/>
        <v>15601508.01</v>
      </c>
      <c r="K52" s="26">
        <f t="shared" si="3"/>
        <v>99.897103187190737</v>
      </c>
    </row>
    <row r="53" spans="1:14" ht="273" customHeight="1">
      <c r="A53" s="58" t="s">
        <v>146</v>
      </c>
      <c r="B53" s="32">
        <v>41059300</v>
      </c>
      <c r="C53" s="25">
        <v>56612</v>
      </c>
      <c r="D53" s="25">
        <v>35091.43</v>
      </c>
      <c r="E53" s="26">
        <f t="shared" si="0"/>
        <v>61.985851056313152</v>
      </c>
      <c r="F53" s="25"/>
      <c r="G53" s="25"/>
      <c r="H53" s="26"/>
      <c r="I53" s="25">
        <f t="shared" si="1"/>
        <v>56612</v>
      </c>
      <c r="J53" s="25">
        <f t="shared" si="2"/>
        <v>35091.43</v>
      </c>
      <c r="K53" s="26">
        <f t="shared" si="3"/>
        <v>61.985851056313152</v>
      </c>
    </row>
    <row r="54" spans="1:14" ht="120" customHeight="1">
      <c r="A54" s="58" t="s">
        <v>143</v>
      </c>
      <c r="B54" s="32">
        <v>42000000</v>
      </c>
      <c r="C54" s="25"/>
      <c r="D54" s="25"/>
      <c r="E54" s="26"/>
      <c r="F54" s="25">
        <v>249764100.99000001</v>
      </c>
      <c r="G54" s="25">
        <v>235781298.56999999</v>
      </c>
      <c r="H54" s="26">
        <f t="shared" si="4"/>
        <v>94.401596400533222</v>
      </c>
      <c r="I54" s="25">
        <f t="shared" si="1"/>
        <v>249764100.99000001</v>
      </c>
      <c r="J54" s="25">
        <f t="shared" si="2"/>
        <v>235781298.56999999</v>
      </c>
      <c r="K54" s="26">
        <f t="shared" si="3"/>
        <v>94.401596400533222</v>
      </c>
    </row>
    <row r="55" spans="1:14" ht="79.5" customHeight="1">
      <c r="A55" s="58" t="s">
        <v>113</v>
      </c>
      <c r="B55" s="32">
        <v>42020500</v>
      </c>
      <c r="C55" s="25"/>
      <c r="D55" s="25"/>
      <c r="E55" s="26"/>
      <c r="F55" s="25">
        <v>229575706.25</v>
      </c>
      <c r="G55" s="25">
        <v>215592903.83000001</v>
      </c>
      <c r="H55" s="26">
        <f t="shared" si="4"/>
        <v>93.909284807002521</v>
      </c>
      <c r="I55" s="25">
        <f t="shared" si="1"/>
        <v>229575706.25</v>
      </c>
      <c r="J55" s="25">
        <f t="shared" si="2"/>
        <v>215592903.83000001</v>
      </c>
      <c r="K55" s="26">
        <f t="shared" si="3"/>
        <v>93.909284807002521</v>
      </c>
    </row>
    <row r="56" spans="1:14" ht="115.5" customHeight="1">
      <c r="A56" s="58" t="s">
        <v>125</v>
      </c>
      <c r="B56" s="32">
        <v>42030300</v>
      </c>
      <c r="C56" s="25"/>
      <c r="D56" s="25"/>
      <c r="E56" s="26"/>
      <c r="F56" s="25">
        <v>20188394.739999998</v>
      </c>
      <c r="G56" s="25">
        <v>20188394.739999998</v>
      </c>
      <c r="H56" s="26">
        <f t="shared" si="4"/>
        <v>100</v>
      </c>
      <c r="I56" s="25">
        <f t="shared" si="1"/>
        <v>20188394.739999998</v>
      </c>
      <c r="J56" s="25">
        <f t="shared" si="2"/>
        <v>20188394.739999998</v>
      </c>
      <c r="K56" s="26">
        <f t="shared" si="3"/>
        <v>100</v>
      </c>
    </row>
    <row r="57" spans="1:14" ht="104.25" customHeight="1">
      <c r="A57" s="30" t="s">
        <v>107</v>
      </c>
      <c r="B57" s="30">
        <v>90010300</v>
      </c>
      <c r="C57" s="21">
        <f>C30+C31</f>
        <v>4106904112.1300001</v>
      </c>
      <c r="D57" s="21">
        <v>4109603994.71</v>
      </c>
      <c r="E57" s="22">
        <f t="shared" si="0"/>
        <v>100.0657400929334</v>
      </c>
      <c r="F57" s="21">
        <f>F30+F31</f>
        <v>690941182.99000001</v>
      </c>
      <c r="G57" s="21">
        <f>G30+G31</f>
        <v>670017826.41000009</v>
      </c>
      <c r="H57" s="22">
        <f t="shared" si="4"/>
        <v>96.971760101278733</v>
      </c>
      <c r="I57" s="21">
        <f t="shared" si="1"/>
        <v>4797845295.1199999</v>
      </c>
      <c r="J57" s="21">
        <f t="shared" si="2"/>
        <v>4779621821.1199999</v>
      </c>
      <c r="K57" s="22">
        <f t="shared" si="3"/>
        <v>99.620173788876954</v>
      </c>
    </row>
    <row r="58" spans="1:14" ht="0.75" hidden="1" customHeight="1">
      <c r="A58" s="23" t="s">
        <v>6</v>
      </c>
      <c r="B58" s="32">
        <v>41035000</v>
      </c>
      <c r="C58" s="25">
        <v>65</v>
      </c>
      <c r="D58" s="25">
        <v>11.8</v>
      </c>
      <c r="E58" s="26">
        <f t="shared" ref="E58" si="5">D58*100/C58</f>
        <v>18.153846153846153</v>
      </c>
      <c r="F58" s="56"/>
      <c r="G58" s="56"/>
      <c r="H58" s="26" t="e">
        <f>G58*100/F58</f>
        <v>#DIV/0!</v>
      </c>
      <c r="I58" s="25">
        <f t="shared" ref="I58:J58" si="6">C58+F58</f>
        <v>65</v>
      </c>
      <c r="J58" s="25">
        <f t="shared" si="6"/>
        <v>11.8</v>
      </c>
      <c r="K58" s="26">
        <f t="shared" ref="K58" si="7">J58*100/I58</f>
        <v>18.153846153846153</v>
      </c>
    </row>
    <row r="59" spans="1:14" ht="76.5" customHeight="1">
      <c r="A59" s="73" t="s">
        <v>7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</row>
    <row r="60" spans="1:14" s="11" customFormat="1" ht="60.75" customHeight="1">
      <c r="A60" s="19" t="s">
        <v>13</v>
      </c>
      <c r="B60" s="20" t="s">
        <v>37</v>
      </c>
      <c r="C60" s="21">
        <f>C61+C63+C62</f>
        <v>223503771.66999999</v>
      </c>
      <c r="D60" s="21">
        <f>D61+D63+D62</f>
        <v>207298204.23999998</v>
      </c>
      <c r="E60" s="22">
        <f>D60/C60*100</f>
        <v>92.749309191109631</v>
      </c>
      <c r="F60" s="21">
        <f>F61+F63+F62</f>
        <v>0</v>
      </c>
      <c r="G60" s="21">
        <f>G61+G63+G62</f>
        <v>2251855.44</v>
      </c>
      <c r="H60" s="22"/>
      <c r="I60" s="21">
        <f>I61+I63+I62</f>
        <v>223503771.66999999</v>
      </c>
      <c r="J60" s="21">
        <f>J61+J63+J62</f>
        <v>209550059.68000001</v>
      </c>
      <c r="K60" s="22">
        <f>J60/I60*100</f>
        <v>93.756833772540347</v>
      </c>
      <c r="L60" s="12">
        <f>C60+F60-I60</f>
        <v>0</v>
      </c>
      <c r="N60" s="12"/>
    </row>
    <row r="61" spans="1:14" ht="109.5" customHeight="1">
      <c r="A61" s="23" t="s">
        <v>98</v>
      </c>
      <c r="B61" s="24" t="s">
        <v>65</v>
      </c>
      <c r="C61" s="25">
        <v>220057931</v>
      </c>
      <c r="D61" s="25">
        <v>204497322.19999999</v>
      </c>
      <c r="E61" s="26">
        <f t="shared" ref="E61:E125" si="8">D61/C61*100</f>
        <v>92.928857992398378</v>
      </c>
      <c r="F61" s="25"/>
      <c r="G61" s="25">
        <v>2047591.49</v>
      </c>
      <c r="H61" s="26"/>
      <c r="I61" s="25">
        <f>C61+F61</f>
        <v>220057931</v>
      </c>
      <c r="J61" s="25">
        <f t="shared" ref="I61:J63" si="9">D61+G61</f>
        <v>206544913.69</v>
      </c>
      <c r="K61" s="26">
        <f>J61/I61*100</f>
        <v>93.859336380836908</v>
      </c>
      <c r="L61" s="12">
        <f t="shared" ref="L61:L124" si="10">C61+F61-I61</f>
        <v>0</v>
      </c>
      <c r="N61" s="12"/>
    </row>
    <row r="62" spans="1:14" ht="102" customHeight="1">
      <c r="A62" s="23" t="s">
        <v>66</v>
      </c>
      <c r="B62" s="24" t="s">
        <v>38</v>
      </c>
      <c r="C62" s="25">
        <v>70000</v>
      </c>
      <c r="D62" s="25"/>
      <c r="E62" s="22">
        <f t="shared" si="8"/>
        <v>0</v>
      </c>
      <c r="F62" s="25"/>
      <c r="G62" s="25">
        <v>0</v>
      </c>
      <c r="H62" s="26"/>
      <c r="I62" s="25">
        <f t="shared" si="9"/>
        <v>70000</v>
      </c>
      <c r="J62" s="25">
        <f>D62+G62</f>
        <v>0</v>
      </c>
      <c r="K62" s="26">
        <f>J62/I62*100</f>
        <v>0</v>
      </c>
      <c r="L62" s="12">
        <f t="shared" si="10"/>
        <v>0</v>
      </c>
      <c r="N62" s="12"/>
    </row>
    <row r="63" spans="1:14" ht="66.75" customHeight="1">
      <c r="A63" s="23" t="s">
        <v>67</v>
      </c>
      <c r="B63" s="27" t="s">
        <v>39</v>
      </c>
      <c r="C63" s="25">
        <v>3375840.67</v>
      </c>
      <c r="D63" s="25">
        <v>2800882.04</v>
      </c>
      <c r="E63" s="26">
        <f t="shared" si="8"/>
        <v>82.968431090084593</v>
      </c>
      <c r="F63" s="25"/>
      <c r="G63" s="25">
        <v>204263.95</v>
      </c>
      <c r="H63" s="26"/>
      <c r="I63" s="25">
        <f t="shared" si="9"/>
        <v>3375840.67</v>
      </c>
      <c r="J63" s="25">
        <f>D63+G63</f>
        <v>3005145.99</v>
      </c>
      <c r="K63" s="26">
        <f t="shared" ref="K63:K84" si="11">J63/I63*100</f>
        <v>89.019189107642333</v>
      </c>
      <c r="L63" s="12">
        <f t="shared" si="10"/>
        <v>0</v>
      </c>
      <c r="N63" s="12"/>
    </row>
    <row r="64" spans="1:14" s="11" customFormat="1" ht="50.25" customHeight="1">
      <c r="A64" s="19" t="s">
        <v>40</v>
      </c>
      <c r="B64" s="28" t="s">
        <v>41</v>
      </c>
      <c r="C64" s="21">
        <f>SUM(C65:C80)</f>
        <v>2084530596.1799996</v>
      </c>
      <c r="D64" s="21">
        <f>SUM(D65:D80)</f>
        <v>2002010957.01</v>
      </c>
      <c r="E64" s="22">
        <f t="shared" si="8"/>
        <v>96.041332311398037</v>
      </c>
      <c r="F64" s="21">
        <f>SUM(F65:F80)</f>
        <v>354058731.25999999</v>
      </c>
      <c r="G64" s="21">
        <f>SUM(G65:G80)</f>
        <v>345792290.39000005</v>
      </c>
      <c r="H64" s="22">
        <f>G64/F64*100</f>
        <v>97.665234566993476</v>
      </c>
      <c r="I64" s="21">
        <f t="shared" ref="I64:J64" si="12">SUM(I65:I80)</f>
        <v>2438589327.4399996</v>
      </c>
      <c r="J64" s="21">
        <f t="shared" si="12"/>
        <v>2347803247.4000001</v>
      </c>
      <c r="K64" s="22">
        <f t="shared" si="11"/>
        <v>96.277106644467054</v>
      </c>
      <c r="L64" s="12">
        <f t="shared" si="10"/>
        <v>0</v>
      </c>
      <c r="N64" s="12"/>
    </row>
    <row r="65" spans="1:14" ht="58.5" customHeight="1">
      <c r="A65" s="23" t="s">
        <v>68</v>
      </c>
      <c r="B65" s="27" t="s">
        <v>42</v>
      </c>
      <c r="C65" s="25">
        <v>707184376.92999995</v>
      </c>
      <c r="D65" s="25">
        <v>671888657.95000005</v>
      </c>
      <c r="E65" s="26">
        <f t="shared" si="8"/>
        <v>95.008979251885592</v>
      </c>
      <c r="F65" s="25">
        <v>31957394</v>
      </c>
      <c r="G65" s="25">
        <v>30764313.370000001</v>
      </c>
      <c r="H65" s="26">
        <f t="shared" ref="H65:H129" si="13">G65/F65*100</f>
        <v>96.26665231213785</v>
      </c>
      <c r="I65" s="25">
        <f>C65+F65</f>
        <v>739141770.92999995</v>
      </c>
      <c r="J65" s="25">
        <f>D65+G65</f>
        <v>702652971.32000005</v>
      </c>
      <c r="K65" s="26">
        <f t="shared" si="11"/>
        <v>95.063355766771366</v>
      </c>
      <c r="L65" s="12">
        <f t="shared" si="10"/>
        <v>0</v>
      </c>
      <c r="N65" s="12"/>
    </row>
    <row r="66" spans="1:14" ht="76.5" customHeight="1">
      <c r="A66" s="23" t="s">
        <v>99</v>
      </c>
      <c r="B66" s="27" t="s">
        <v>43</v>
      </c>
      <c r="C66" s="25">
        <v>383649000.93000001</v>
      </c>
      <c r="D66" s="25">
        <v>371293067.24000001</v>
      </c>
      <c r="E66" s="26">
        <f t="shared" si="8"/>
        <v>96.779365081090248</v>
      </c>
      <c r="F66" s="25">
        <v>52098770.259999998</v>
      </c>
      <c r="G66" s="25">
        <v>84725589.75</v>
      </c>
      <c r="H66" s="26">
        <f t="shared" si="13"/>
        <v>162.62493208030665</v>
      </c>
      <c r="I66" s="25">
        <f>C66+F66</f>
        <v>435747771.19</v>
      </c>
      <c r="J66" s="25">
        <f>D66+G66</f>
        <v>456018656.99000001</v>
      </c>
      <c r="K66" s="26">
        <f t="shared" si="11"/>
        <v>104.65197693258223</v>
      </c>
      <c r="L66" s="12">
        <f t="shared" si="10"/>
        <v>0</v>
      </c>
      <c r="N66" s="12"/>
    </row>
    <row r="67" spans="1:14" ht="87" customHeight="1">
      <c r="A67" s="23" t="s">
        <v>100</v>
      </c>
      <c r="B67" s="27">
        <v>1030</v>
      </c>
      <c r="C67" s="25">
        <v>608207149.55999994</v>
      </c>
      <c r="D67" s="25">
        <v>608207149.55999994</v>
      </c>
      <c r="E67" s="26">
        <f t="shared" si="8"/>
        <v>100</v>
      </c>
      <c r="F67" s="25"/>
      <c r="G67" s="25"/>
      <c r="H67" s="26"/>
      <c r="I67" s="25">
        <f t="shared" ref="I67:J67" si="14">C67+F67</f>
        <v>608207149.55999994</v>
      </c>
      <c r="J67" s="25">
        <f t="shared" si="14"/>
        <v>608207149.55999994</v>
      </c>
      <c r="K67" s="26">
        <f t="shared" si="11"/>
        <v>100</v>
      </c>
      <c r="L67" s="12">
        <f t="shared" si="10"/>
        <v>0</v>
      </c>
      <c r="N67" s="12"/>
    </row>
    <row r="68" spans="1:14" ht="103.5" customHeight="1">
      <c r="A68" s="23" t="s">
        <v>94</v>
      </c>
      <c r="B68" s="27">
        <v>1070</v>
      </c>
      <c r="C68" s="25">
        <v>48581821.109999999</v>
      </c>
      <c r="D68" s="25">
        <v>43610324.380000003</v>
      </c>
      <c r="E68" s="26">
        <f t="shared" si="8"/>
        <v>89.766755102194651</v>
      </c>
      <c r="F68" s="25">
        <v>219480</v>
      </c>
      <c r="G68" s="25">
        <v>1023699.34</v>
      </c>
      <c r="H68" s="26"/>
      <c r="I68" s="25">
        <f t="shared" ref="I68:J72" si="15">C68+F68</f>
        <v>48801301.109999999</v>
      </c>
      <c r="J68" s="25">
        <f t="shared" si="15"/>
        <v>44634023.720000006</v>
      </c>
      <c r="K68" s="26">
        <f t="shared" si="11"/>
        <v>91.460724826563961</v>
      </c>
      <c r="L68" s="12">
        <f t="shared" si="10"/>
        <v>0</v>
      </c>
      <c r="N68" s="12"/>
    </row>
    <row r="69" spans="1:14" ht="70.5" customHeight="1">
      <c r="A69" s="23" t="s">
        <v>93</v>
      </c>
      <c r="B69" s="24" t="s">
        <v>101</v>
      </c>
      <c r="C69" s="25">
        <v>86268915</v>
      </c>
      <c r="D69" s="25">
        <v>80270890.780000001</v>
      </c>
      <c r="E69" s="26">
        <f t="shared" si="8"/>
        <v>93.047293778993279</v>
      </c>
      <c r="F69" s="25">
        <v>8846830</v>
      </c>
      <c r="G69" s="25">
        <v>9576233.6600000001</v>
      </c>
      <c r="H69" s="26">
        <f t="shared" si="13"/>
        <v>108.244802488575</v>
      </c>
      <c r="I69" s="25">
        <f t="shared" si="15"/>
        <v>95115745</v>
      </c>
      <c r="J69" s="25">
        <f t="shared" si="15"/>
        <v>89847124.439999998</v>
      </c>
      <c r="K69" s="26">
        <f t="shared" si="11"/>
        <v>94.460832367974405</v>
      </c>
      <c r="L69" s="12">
        <f t="shared" si="10"/>
        <v>0</v>
      </c>
      <c r="N69" s="12"/>
    </row>
    <row r="70" spans="1:14" ht="98.25" customHeight="1">
      <c r="A70" s="23" t="s">
        <v>95</v>
      </c>
      <c r="B70" s="24" t="s">
        <v>44</v>
      </c>
      <c r="C70" s="25">
        <f>157219434+17217650.44</f>
        <v>174437084.44</v>
      </c>
      <c r="D70" s="25">
        <f>150950763.78+17217650.44</f>
        <v>168168414.22</v>
      </c>
      <c r="E70" s="26">
        <f t="shared" si="8"/>
        <v>96.406343157978995</v>
      </c>
      <c r="F70" s="25">
        <v>173608366</v>
      </c>
      <c r="G70" s="25">
        <v>166629902.75999999</v>
      </c>
      <c r="H70" s="26">
        <f t="shared" si="13"/>
        <v>95.980341615564768</v>
      </c>
      <c r="I70" s="25">
        <f t="shared" si="15"/>
        <v>348045450.44</v>
      </c>
      <c r="J70" s="25">
        <f t="shared" si="15"/>
        <v>334798316.98000002</v>
      </c>
      <c r="K70" s="26">
        <f t="shared" si="11"/>
        <v>96.193849555208118</v>
      </c>
      <c r="L70" s="12">
        <f t="shared" si="10"/>
        <v>0</v>
      </c>
      <c r="N70" s="12"/>
    </row>
    <row r="71" spans="1:14" ht="63.75" customHeight="1">
      <c r="A71" s="23" t="s">
        <v>96</v>
      </c>
      <c r="B71" s="27">
        <v>1130</v>
      </c>
      <c r="C71" s="25">
        <v>7263864</v>
      </c>
      <c r="D71" s="25">
        <v>6169442.0899999999</v>
      </c>
      <c r="E71" s="26">
        <f t="shared" si="8"/>
        <v>84.933336995296159</v>
      </c>
      <c r="F71" s="25"/>
      <c r="G71" s="25">
        <v>574990.92000000004</v>
      </c>
      <c r="H71" s="26"/>
      <c r="I71" s="25">
        <f t="shared" si="15"/>
        <v>7263864</v>
      </c>
      <c r="J71" s="25">
        <f t="shared" si="15"/>
        <v>6744433.0099999998</v>
      </c>
      <c r="K71" s="26">
        <f t="shared" si="11"/>
        <v>92.849109096756209</v>
      </c>
      <c r="L71" s="12">
        <f t="shared" si="10"/>
        <v>0</v>
      </c>
      <c r="N71" s="12"/>
    </row>
    <row r="72" spans="1:14" ht="63.75" customHeight="1">
      <c r="A72" s="23" t="s">
        <v>69</v>
      </c>
      <c r="B72" s="27">
        <v>1140</v>
      </c>
      <c r="C72" s="25">
        <f>17854496.53+90500</f>
        <v>17944996.530000001</v>
      </c>
      <c r="D72" s="25">
        <f>16810374.17+66970</f>
        <v>16877344.170000002</v>
      </c>
      <c r="E72" s="26">
        <f t="shared" si="8"/>
        <v>94.050417573415942</v>
      </c>
      <c r="F72" s="29"/>
      <c r="G72" s="25">
        <v>26158.85</v>
      </c>
      <c r="H72" s="26"/>
      <c r="I72" s="25">
        <f t="shared" si="15"/>
        <v>17944996.530000001</v>
      </c>
      <c r="J72" s="25">
        <f t="shared" si="15"/>
        <v>16903503.020000003</v>
      </c>
      <c r="K72" s="26">
        <f t="shared" si="11"/>
        <v>94.196189961592609</v>
      </c>
      <c r="L72" s="12">
        <f t="shared" si="10"/>
        <v>0</v>
      </c>
      <c r="N72" s="12"/>
    </row>
    <row r="73" spans="1:14" ht="89.25" customHeight="1">
      <c r="A73" s="23" t="s">
        <v>91</v>
      </c>
      <c r="B73" s="27">
        <v>1150</v>
      </c>
      <c r="C73" s="25">
        <f>4973462.56+4635050</f>
        <v>9608512.5599999987</v>
      </c>
      <c r="D73" s="25">
        <f>4269397.42+4635050</f>
        <v>8904447.4199999999</v>
      </c>
      <c r="E73" s="26">
        <f>D73/C73*100</f>
        <v>92.672485615192883</v>
      </c>
      <c r="F73" s="25"/>
      <c r="G73" s="25">
        <v>46415.32</v>
      </c>
      <c r="H73" s="26"/>
      <c r="I73" s="25">
        <f>C73+F73</f>
        <v>9608512.5599999987</v>
      </c>
      <c r="J73" s="25">
        <f t="shared" ref="J73:J74" si="16">D73+G73</f>
        <v>8950862.7400000002</v>
      </c>
      <c r="K73" s="26">
        <f t="shared" si="11"/>
        <v>93.155550186427632</v>
      </c>
      <c r="L73" s="12">
        <f t="shared" si="10"/>
        <v>0</v>
      </c>
      <c r="N73" s="13"/>
    </row>
    <row r="74" spans="1:14" ht="117.75" customHeight="1">
      <c r="A74" s="23" t="s">
        <v>147</v>
      </c>
      <c r="B74" s="27">
        <v>1180</v>
      </c>
      <c r="C74" s="25">
        <f>2784800+5870820</f>
        <v>8655620</v>
      </c>
      <c r="D74" s="25">
        <f>2784756.6+5870820</f>
        <v>8655576.5999999996</v>
      </c>
      <c r="E74" s="26">
        <f>D74/C74*100</f>
        <v>99.999498591666452</v>
      </c>
      <c r="F74" s="25">
        <f>1598200+4353009</f>
        <v>5951209</v>
      </c>
      <c r="G74" s="25">
        <f>1598200+4353009</f>
        <v>5951209</v>
      </c>
      <c r="H74" s="26">
        <f t="shared" si="13"/>
        <v>100</v>
      </c>
      <c r="I74" s="25">
        <f>C74+F74</f>
        <v>14606829</v>
      </c>
      <c r="J74" s="25">
        <f t="shared" si="16"/>
        <v>14606785.6</v>
      </c>
      <c r="K74" s="26">
        <f t="shared" si="11"/>
        <v>99.999702878701456</v>
      </c>
      <c r="L74" s="12">
        <f t="shared" si="10"/>
        <v>0</v>
      </c>
      <c r="N74" s="13"/>
    </row>
    <row r="75" spans="1:14" ht="135.75" customHeight="1">
      <c r="A75" s="23" t="s">
        <v>102</v>
      </c>
      <c r="B75" s="27">
        <v>1200</v>
      </c>
      <c r="C75" s="25">
        <v>5302204</v>
      </c>
      <c r="D75" s="25">
        <v>5302204</v>
      </c>
      <c r="E75" s="26">
        <f t="shared" si="8"/>
        <v>100</v>
      </c>
      <c r="F75" s="25"/>
      <c r="G75" s="25"/>
      <c r="H75" s="26"/>
      <c r="I75" s="25">
        <f t="shared" ref="I75:J77" si="17">C75+F75</f>
        <v>5302204</v>
      </c>
      <c r="J75" s="25">
        <f t="shared" si="17"/>
        <v>5302204</v>
      </c>
      <c r="K75" s="26">
        <f>J75/I75*100</f>
        <v>100</v>
      </c>
      <c r="L75" s="12">
        <f t="shared" si="10"/>
        <v>0</v>
      </c>
      <c r="N75" s="13"/>
    </row>
    <row r="76" spans="1:14" ht="153" customHeight="1">
      <c r="A76" s="63" t="s">
        <v>127</v>
      </c>
      <c r="B76" s="64" t="s">
        <v>126</v>
      </c>
      <c r="C76" s="25">
        <v>200850.12</v>
      </c>
      <c r="D76" s="25">
        <v>200850.12</v>
      </c>
      <c r="E76" s="26">
        <f t="shared" si="8"/>
        <v>100</v>
      </c>
      <c r="F76" s="25"/>
      <c r="G76" s="25"/>
      <c r="H76" s="26"/>
      <c r="I76" s="25">
        <f t="shared" si="17"/>
        <v>200850.12</v>
      </c>
      <c r="J76" s="25">
        <f t="shared" si="17"/>
        <v>200850.12</v>
      </c>
      <c r="K76" s="26">
        <f>J76/I76*100</f>
        <v>100</v>
      </c>
      <c r="L76" s="12">
        <f t="shared" si="10"/>
        <v>0</v>
      </c>
      <c r="N76" s="13"/>
    </row>
    <row r="77" spans="1:14" ht="102.75" customHeight="1">
      <c r="A77" s="63" t="s">
        <v>136</v>
      </c>
      <c r="B77" s="64">
        <v>1220</v>
      </c>
      <c r="C77" s="25"/>
      <c r="D77" s="25"/>
      <c r="E77" s="26"/>
      <c r="F77" s="25">
        <f>1700000+3851200</f>
        <v>5551200</v>
      </c>
      <c r="G77" s="25">
        <f>1700000+3851200</f>
        <v>5551200</v>
      </c>
      <c r="H77" s="26">
        <f t="shared" si="13"/>
        <v>100</v>
      </c>
      <c r="I77" s="25">
        <f t="shared" si="17"/>
        <v>5551200</v>
      </c>
      <c r="J77" s="25">
        <f t="shared" si="17"/>
        <v>5551200</v>
      </c>
      <c r="K77" s="26">
        <f>J77/I77*100</f>
        <v>100</v>
      </c>
      <c r="L77" s="12">
        <f t="shared" si="10"/>
        <v>0</v>
      </c>
      <c r="N77" s="13"/>
    </row>
    <row r="78" spans="1:14" ht="156" customHeight="1">
      <c r="A78" s="63" t="s">
        <v>135</v>
      </c>
      <c r="B78" s="64">
        <v>1240</v>
      </c>
      <c r="C78" s="25"/>
      <c r="D78" s="25"/>
      <c r="E78" s="26"/>
      <c r="F78" s="25">
        <f>5227886+11930900</f>
        <v>17158786</v>
      </c>
      <c r="G78" s="25">
        <f>3807984.35+8885294.95</f>
        <v>12693279.299999999</v>
      </c>
      <c r="H78" s="26">
        <f t="shared" si="13"/>
        <v>73.975392548167434</v>
      </c>
      <c r="I78" s="25">
        <f t="shared" ref="I78:I80" si="18">C78+F78</f>
        <v>17158786</v>
      </c>
      <c r="J78" s="25">
        <f t="shared" ref="J78:J80" si="19">D78+G78</f>
        <v>12693279.299999999</v>
      </c>
      <c r="K78" s="26">
        <f t="shared" ref="K78:K80" si="20">J78/I78*100</f>
        <v>73.975392548167434</v>
      </c>
      <c r="L78" s="12">
        <f t="shared" si="10"/>
        <v>0</v>
      </c>
      <c r="N78" s="13"/>
    </row>
    <row r="79" spans="1:14" ht="207.75" customHeight="1">
      <c r="A79" s="63" t="s">
        <v>134</v>
      </c>
      <c r="B79" s="64">
        <v>1290</v>
      </c>
      <c r="C79" s="25">
        <v>1047901</v>
      </c>
      <c r="D79" s="25">
        <v>1047899.3</v>
      </c>
      <c r="E79" s="26"/>
      <c r="F79" s="25">
        <f>16045250+13158346</f>
        <v>29203596</v>
      </c>
      <c r="G79" s="25">
        <f>15070952.12+13158346</f>
        <v>28229298.119999997</v>
      </c>
      <c r="H79" s="26">
        <f t="shared" si="13"/>
        <v>96.663774283139645</v>
      </c>
      <c r="I79" s="25">
        <f t="shared" si="18"/>
        <v>30251497</v>
      </c>
      <c r="J79" s="25">
        <f t="shared" si="19"/>
        <v>29277197.419999998</v>
      </c>
      <c r="K79" s="26">
        <f t="shared" si="20"/>
        <v>96.779334325174048</v>
      </c>
      <c r="L79" s="12">
        <f t="shared" si="10"/>
        <v>0</v>
      </c>
      <c r="N79" s="13"/>
    </row>
    <row r="80" spans="1:14" ht="83.25">
      <c r="A80" s="63" t="s">
        <v>148</v>
      </c>
      <c r="B80" s="64">
        <v>1400</v>
      </c>
      <c r="C80" s="25">
        <v>26178300</v>
      </c>
      <c r="D80" s="25">
        <v>11414689.18</v>
      </c>
      <c r="E80" s="26"/>
      <c r="F80" s="25">
        <v>29463100</v>
      </c>
      <c r="G80" s="25"/>
      <c r="H80" s="26"/>
      <c r="I80" s="25">
        <f t="shared" si="18"/>
        <v>55641400</v>
      </c>
      <c r="J80" s="25">
        <f t="shared" si="19"/>
        <v>11414689.18</v>
      </c>
      <c r="K80" s="26">
        <f t="shared" si="20"/>
        <v>20.51474114598123</v>
      </c>
      <c r="L80" s="12">
        <f t="shared" si="10"/>
        <v>0</v>
      </c>
      <c r="N80" s="13"/>
    </row>
    <row r="81" spans="1:18" s="11" customFormat="1" ht="62.25" customHeight="1">
      <c r="A81" s="19" t="s">
        <v>45</v>
      </c>
      <c r="B81" s="28" t="s">
        <v>46</v>
      </c>
      <c r="C81" s="21">
        <f>+C83+C82</f>
        <v>107297224</v>
      </c>
      <c r="D81" s="21">
        <f>+D83+D82</f>
        <v>96148044.629999995</v>
      </c>
      <c r="E81" s="22">
        <f t="shared" si="8"/>
        <v>89.609070063173306</v>
      </c>
      <c r="F81" s="21">
        <f>F83+F82</f>
        <v>4628424.1500000004</v>
      </c>
      <c r="G81" s="21">
        <f>G83+G82</f>
        <v>12319325.84</v>
      </c>
      <c r="H81" s="22">
        <f t="shared" si="13"/>
        <v>266.16674359889856</v>
      </c>
      <c r="I81" s="21">
        <f>+I83+I82</f>
        <v>111925648.15000001</v>
      </c>
      <c r="J81" s="21">
        <f>+J83+J82</f>
        <v>108467370.47</v>
      </c>
      <c r="K81" s="22">
        <f t="shared" si="11"/>
        <v>96.910200890357757</v>
      </c>
      <c r="L81" s="12">
        <f t="shared" si="10"/>
        <v>0</v>
      </c>
      <c r="N81" s="12"/>
    </row>
    <row r="82" spans="1:18" s="11" customFormat="1" ht="68.25" customHeight="1">
      <c r="A82" s="65" t="s">
        <v>128</v>
      </c>
      <c r="B82" s="27">
        <v>2010</v>
      </c>
      <c r="C82" s="21"/>
      <c r="D82" s="21"/>
      <c r="E82" s="22"/>
      <c r="F82" s="25">
        <v>2428424.15</v>
      </c>
      <c r="G82" s="25">
        <v>11639813.890000001</v>
      </c>
      <c r="H82" s="26">
        <f t="shared" si="13"/>
        <v>479.3155219610216</v>
      </c>
      <c r="I82" s="25">
        <f>C82+F82</f>
        <v>2428424.15</v>
      </c>
      <c r="J82" s="25">
        <f>D82+G82</f>
        <v>11639813.890000001</v>
      </c>
      <c r="K82" s="26">
        <f t="shared" si="11"/>
        <v>479.3155219610216</v>
      </c>
      <c r="L82" s="12">
        <f t="shared" si="10"/>
        <v>0</v>
      </c>
      <c r="N82" s="12"/>
    </row>
    <row r="83" spans="1:18" ht="93.75" customHeight="1">
      <c r="A83" s="23" t="s">
        <v>80</v>
      </c>
      <c r="B83" s="27">
        <v>2150</v>
      </c>
      <c r="C83" s="25">
        <f>2244200+105053024</f>
        <v>107297224</v>
      </c>
      <c r="D83" s="25">
        <f>2222986.86+93925057.77</f>
        <v>96148044.629999995</v>
      </c>
      <c r="E83" s="26">
        <f t="shared" si="8"/>
        <v>89.609070063173306</v>
      </c>
      <c r="F83" s="25">
        <v>2200000</v>
      </c>
      <c r="G83" s="25">
        <v>679511.95</v>
      </c>
      <c r="H83" s="26">
        <f t="shared" si="13"/>
        <v>30.886906818181814</v>
      </c>
      <c r="I83" s="25">
        <f>C83+F83</f>
        <v>109497224</v>
      </c>
      <c r="J83" s="25">
        <f>D83+G83</f>
        <v>96827556.579999998</v>
      </c>
      <c r="K83" s="26">
        <f t="shared" si="11"/>
        <v>88.429234132912811</v>
      </c>
      <c r="L83" s="12">
        <f t="shared" si="10"/>
        <v>0</v>
      </c>
      <c r="N83" s="12"/>
    </row>
    <row r="84" spans="1:18" s="11" customFormat="1" ht="85.5" customHeight="1">
      <c r="A84" s="19" t="s">
        <v>47</v>
      </c>
      <c r="B84" s="28" t="s">
        <v>48</v>
      </c>
      <c r="C84" s="21">
        <f>SUM(C85:C96)</f>
        <v>139535218.82999998</v>
      </c>
      <c r="D84" s="21">
        <f>SUM(D85:D96)</f>
        <v>134591608.08000001</v>
      </c>
      <c r="E84" s="22">
        <f t="shared" si="8"/>
        <v>96.457087471211892</v>
      </c>
      <c r="F84" s="21">
        <f t="shared" ref="F84:G84" si="21">SUM(F85:F96)</f>
        <v>221875417.31999999</v>
      </c>
      <c r="G84" s="21">
        <f t="shared" si="21"/>
        <v>226036820.16</v>
      </c>
      <c r="H84" s="22">
        <f t="shared" si="13"/>
        <v>101.87555831568227</v>
      </c>
      <c r="I84" s="21">
        <f t="shared" ref="I84" si="22">SUM(I85:I96)</f>
        <v>361410636.14999998</v>
      </c>
      <c r="J84" s="21">
        <f t="shared" ref="J84" si="23">SUM(J85:J96)</f>
        <v>360628428.24000001</v>
      </c>
      <c r="K84" s="22">
        <f t="shared" si="11"/>
        <v>99.783568099065207</v>
      </c>
      <c r="L84" s="12">
        <f t="shared" si="10"/>
        <v>0</v>
      </c>
      <c r="N84" s="12"/>
      <c r="R84" s="12">
        <f>131617061-I84</f>
        <v>-229793575.14999998</v>
      </c>
    </row>
    <row r="85" spans="1:18" ht="147.75" customHeight="1">
      <c r="A85" s="23" t="s">
        <v>97</v>
      </c>
      <c r="B85" s="27">
        <v>3030</v>
      </c>
      <c r="C85" s="25">
        <f>410500+1543600</f>
        <v>1954100</v>
      </c>
      <c r="D85" s="25">
        <f>373602.1+1343600</f>
        <v>1717202.1</v>
      </c>
      <c r="E85" s="26">
        <f t="shared" si="8"/>
        <v>87.8768793818126</v>
      </c>
      <c r="F85" s="25"/>
      <c r="G85" s="25"/>
      <c r="H85" s="22"/>
      <c r="I85" s="25">
        <f>C85+F85</f>
        <v>1954100</v>
      </c>
      <c r="J85" s="25">
        <f>D85+G85</f>
        <v>1717202.1</v>
      </c>
      <c r="K85" s="26">
        <f t="shared" ref="K85:K96" si="24">J85/I85*100</f>
        <v>87.8768793818126</v>
      </c>
      <c r="L85" s="12">
        <f t="shared" si="10"/>
        <v>0</v>
      </c>
      <c r="N85" s="12"/>
    </row>
    <row r="86" spans="1:18" ht="107.25" customHeight="1">
      <c r="A86" s="23" t="s">
        <v>70</v>
      </c>
      <c r="B86" s="27">
        <v>3050</v>
      </c>
      <c r="C86" s="25">
        <v>680000</v>
      </c>
      <c r="D86" s="25">
        <v>680000</v>
      </c>
      <c r="E86" s="26">
        <f t="shared" si="8"/>
        <v>100</v>
      </c>
      <c r="F86" s="25"/>
      <c r="G86" s="25"/>
      <c r="H86" s="22"/>
      <c r="I86" s="25">
        <f t="shared" ref="I86:J90" si="25">C86+F86</f>
        <v>680000</v>
      </c>
      <c r="J86" s="25">
        <f t="shared" si="25"/>
        <v>680000</v>
      </c>
      <c r="K86" s="26">
        <f t="shared" si="24"/>
        <v>100</v>
      </c>
      <c r="L86" s="12">
        <f t="shared" si="10"/>
        <v>0</v>
      </c>
      <c r="N86" s="12"/>
    </row>
    <row r="87" spans="1:18" ht="140.25" customHeight="1">
      <c r="A87" s="23" t="s">
        <v>81</v>
      </c>
      <c r="B87" s="27">
        <v>3100</v>
      </c>
      <c r="C87" s="25">
        <f>33725200+9202520</f>
        <v>42927720</v>
      </c>
      <c r="D87" s="25">
        <f>33338214.97+8781138.55</f>
        <v>42119353.519999996</v>
      </c>
      <c r="E87" s="26">
        <f t="shared" si="8"/>
        <v>98.116912614972321</v>
      </c>
      <c r="F87" s="25">
        <v>49100</v>
      </c>
      <c r="G87" s="25">
        <f>874248.9+191265.65</f>
        <v>1065514.55</v>
      </c>
      <c r="H87" s="26"/>
      <c r="I87" s="25">
        <f t="shared" si="25"/>
        <v>42976820</v>
      </c>
      <c r="J87" s="25">
        <f t="shared" si="25"/>
        <v>43184868.069999993</v>
      </c>
      <c r="K87" s="26">
        <f t="shared" si="24"/>
        <v>100.48409368119835</v>
      </c>
      <c r="L87" s="12">
        <f t="shared" si="10"/>
        <v>0</v>
      </c>
      <c r="N87" s="12"/>
    </row>
    <row r="88" spans="1:18" ht="140.25" customHeight="1">
      <c r="A88" s="23" t="s">
        <v>149</v>
      </c>
      <c r="B88" s="27">
        <v>3110</v>
      </c>
      <c r="C88" s="25">
        <v>71987.5</v>
      </c>
      <c r="D88" s="25">
        <v>43192.5</v>
      </c>
      <c r="E88" s="26">
        <f t="shared" si="8"/>
        <v>60</v>
      </c>
      <c r="F88" s="25"/>
      <c r="G88" s="25"/>
      <c r="H88" s="26"/>
      <c r="I88" s="25">
        <f t="shared" si="25"/>
        <v>71987.5</v>
      </c>
      <c r="J88" s="25">
        <f t="shared" si="25"/>
        <v>43192.5</v>
      </c>
      <c r="K88" s="26">
        <f t="shared" si="24"/>
        <v>60</v>
      </c>
      <c r="L88" s="12">
        <f t="shared" si="10"/>
        <v>0</v>
      </c>
      <c r="N88" s="12"/>
    </row>
    <row r="89" spans="1:18" ht="96" customHeight="1">
      <c r="A89" s="23" t="s">
        <v>82</v>
      </c>
      <c r="B89" s="27">
        <v>3120</v>
      </c>
      <c r="C89" s="25">
        <f>10564340+64160+124200</f>
        <v>10752700</v>
      </c>
      <c r="D89" s="25">
        <f>10292992.89+64110+124118.79</f>
        <v>10481221.68</v>
      </c>
      <c r="E89" s="26">
        <f t="shared" si="8"/>
        <v>97.475254401220155</v>
      </c>
      <c r="F89" s="25">
        <v>50000</v>
      </c>
      <c r="G89" s="25">
        <v>2880319.62</v>
      </c>
      <c r="H89" s="22"/>
      <c r="I89" s="25">
        <f t="shared" si="25"/>
        <v>10802700</v>
      </c>
      <c r="J89" s="25">
        <f t="shared" si="25"/>
        <v>13361541.300000001</v>
      </c>
      <c r="K89" s="26">
        <f t="shared" si="24"/>
        <v>123.68705323669083</v>
      </c>
      <c r="L89" s="12">
        <f t="shared" si="10"/>
        <v>0</v>
      </c>
      <c r="N89" s="12"/>
    </row>
    <row r="90" spans="1:18" ht="98.25" customHeight="1">
      <c r="A90" s="23" t="s">
        <v>83</v>
      </c>
      <c r="B90" s="27">
        <v>3130</v>
      </c>
      <c r="C90" s="25">
        <f>521168+13591660+988922</f>
        <v>15101750</v>
      </c>
      <c r="D90" s="25">
        <f>517806.62+12124990.56+981698.8</f>
        <v>13624495.98</v>
      </c>
      <c r="E90" s="26">
        <f t="shared" si="8"/>
        <v>90.217994470839486</v>
      </c>
      <c r="F90" s="25">
        <v>100000</v>
      </c>
      <c r="G90" s="25">
        <f>466524.92+602</f>
        <v>467126.92</v>
      </c>
      <c r="H90" s="22"/>
      <c r="I90" s="25">
        <f t="shared" si="25"/>
        <v>15201750</v>
      </c>
      <c r="J90" s="25">
        <f t="shared" si="25"/>
        <v>14091622.9</v>
      </c>
      <c r="K90" s="26">
        <f t="shared" si="24"/>
        <v>92.697372999819109</v>
      </c>
      <c r="L90" s="12">
        <f t="shared" si="10"/>
        <v>0</v>
      </c>
      <c r="N90" s="12"/>
    </row>
    <row r="91" spans="1:18" ht="234.75" customHeight="1">
      <c r="A91" s="23" t="s">
        <v>71</v>
      </c>
      <c r="B91" s="27">
        <v>3160</v>
      </c>
      <c r="C91" s="25">
        <v>13334800</v>
      </c>
      <c r="D91" s="25">
        <v>13245101.880000001</v>
      </c>
      <c r="E91" s="26">
        <f t="shared" si="8"/>
        <v>99.327338092809796</v>
      </c>
      <c r="F91" s="25"/>
      <c r="G91" s="25"/>
      <c r="H91" s="22"/>
      <c r="I91" s="25">
        <f t="shared" ref="I91:J92" si="26">C91+F91</f>
        <v>13334800</v>
      </c>
      <c r="J91" s="25">
        <f t="shared" si="26"/>
        <v>13245101.880000001</v>
      </c>
      <c r="K91" s="26">
        <f t="shared" si="24"/>
        <v>99.327338092809796</v>
      </c>
      <c r="L91" s="12">
        <f t="shared" si="10"/>
        <v>0</v>
      </c>
      <c r="N91" s="12"/>
    </row>
    <row r="92" spans="1:18" ht="227.25" customHeight="1">
      <c r="A92" s="23" t="s">
        <v>72</v>
      </c>
      <c r="B92" s="27">
        <v>3180</v>
      </c>
      <c r="C92" s="25">
        <v>6610600</v>
      </c>
      <c r="D92" s="25">
        <v>5227129.9400000004</v>
      </c>
      <c r="E92" s="26">
        <f t="shared" si="8"/>
        <v>79.071944150304063</v>
      </c>
      <c r="F92" s="25"/>
      <c r="G92" s="25"/>
      <c r="H92" s="22"/>
      <c r="I92" s="25">
        <f t="shared" si="26"/>
        <v>6610600</v>
      </c>
      <c r="J92" s="25">
        <f t="shared" si="26"/>
        <v>5227129.9400000004</v>
      </c>
      <c r="K92" s="26">
        <f t="shared" si="24"/>
        <v>79.071944150304063</v>
      </c>
      <c r="L92" s="12">
        <f t="shared" si="10"/>
        <v>0</v>
      </c>
      <c r="N92" s="12"/>
    </row>
    <row r="93" spans="1:18" ht="92.25" customHeight="1">
      <c r="A93" s="23" t="s">
        <v>133</v>
      </c>
      <c r="B93" s="27">
        <v>3190</v>
      </c>
      <c r="C93" s="25">
        <f>93400+56612</f>
        <v>150012</v>
      </c>
      <c r="D93" s="25">
        <f>93140+35091.43</f>
        <v>128231.43</v>
      </c>
      <c r="E93" s="26">
        <f t="shared" si="8"/>
        <v>85.480781537477</v>
      </c>
      <c r="F93" s="25"/>
      <c r="G93" s="25"/>
      <c r="H93" s="22"/>
      <c r="I93" s="25">
        <f t="shared" ref="I93" si="27">C93+F93</f>
        <v>150012</v>
      </c>
      <c r="J93" s="25">
        <f t="shared" ref="J93" si="28">D93+G93</f>
        <v>128231.43</v>
      </c>
      <c r="K93" s="26">
        <f t="shared" ref="K93" si="29">J93/I93*100</f>
        <v>85.480781537477</v>
      </c>
      <c r="L93" s="12">
        <f t="shared" si="10"/>
        <v>0</v>
      </c>
      <c r="N93" s="12"/>
    </row>
    <row r="94" spans="1:18" ht="91.5" customHeight="1">
      <c r="A94" s="23" t="s">
        <v>15</v>
      </c>
      <c r="B94" s="27">
        <v>3210</v>
      </c>
      <c r="C94" s="25">
        <v>29280</v>
      </c>
      <c r="D94" s="25">
        <v>21441.68</v>
      </c>
      <c r="E94" s="26">
        <f t="shared" si="8"/>
        <v>73.229781420765022</v>
      </c>
      <c r="F94" s="25"/>
      <c r="G94" s="25"/>
      <c r="H94" s="22"/>
      <c r="I94" s="25">
        <f t="shared" ref="I94:J96" si="30">C94+F94</f>
        <v>29280</v>
      </c>
      <c r="J94" s="25">
        <f t="shared" si="30"/>
        <v>21441.68</v>
      </c>
      <c r="K94" s="26">
        <f t="shared" si="24"/>
        <v>73.229781420765022</v>
      </c>
      <c r="L94" s="12">
        <f t="shared" si="10"/>
        <v>0</v>
      </c>
      <c r="N94" s="12"/>
    </row>
    <row r="95" spans="1:18" ht="91.5" customHeight="1">
      <c r="A95" s="23" t="s">
        <v>150</v>
      </c>
      <c r="B95" s="27">
        <v>3220</v>
      </c>
      <c r="C95" s="25"/>
      <c r="D95" s="25"/>
      <c r="E95" s="26"/>
      <c r="F95" s="25">
        <f>168672641.67+32690043.6+20313632.05</f>
        <v>221676317.31999999</v>
      </c>
      <c r="G95" s="25">
        <f>168672641.67+32689773.6+20261443.8</f>
        <v>221623859.06999999</v>
      </c>
      <c r="H95" s="26">
        <f t="shared" si="13"/>
        <v>99.976335654329603</v>
      </c>
      <c r="I95" s="25">
        <f t="shared" si="30"/>
        <v>221676317.31999999</v>
      </c>
      <c r="J95" s="25">
        <f t="shared" si="30"/>
        <v>221623859.06999999</v>
      </c>
      <c r="K95" s="26">
        <f t="shared" si="24"/>
        <v>99.976335654329603</v>
      </c>
      <c r="L95" s="12">
        <f t="shared" si="10"/>
        <v>0</v>
      </c>
      <c r="N95" s="12"/>
    </row>
    <row r="96" spans="1:18" ht="87" customHeight="1">
      <c r="A96" s="23" t="s">
        <v>84</v>
      </c>
      <c r="B96" s="27">
        <v>3240</v>
      </c>
      <c r="C96" s="25">
        <v>47922269.329999998</v>
      </c>
      <c r="D96" s="25">
        <v>47304237.369999997</v>
      </c>
      <c r="E96" s="26">
        <f t="shared" si="8"/>
        <v>98.710344963540564</v>
      </c>
      <c r="F96" s="25"/>
      <c r="G96" s="25"/>
      <c r="H96" s="22"/>
      <c r="I96" s="25">
        <f t="shared" si="30"/>
        <v>47922269.329999998</v>
      </c>
      <c r="J96" s="25">
        <f t="shared" si="30"/>
        <v>47304237.369999997</v>
      </c>
      <c r="K96" s="26">
        <f t="shared" si="24"/>
        <v>98.710344963540564</v>
      </c>
      <c r="L96" s="12">
        <f t="shared" si="10"/>
        <v>0</v>
      </c>
      <c r="N96" s="12"/>
    </row>
    <row r="97" spans="1:14" s="11" customFormat="1" ht="75" customHeight="1">
      <c r="A97" s="19" t="s">
        <v>49</v>
      </c>
      <c r="B97" s="28" t="s">
        <v>50</v>
      </c>
      <c r="C97" s="21">
        <f>C98+C99+C100+C101</f>
        <v>34528773</v>
      </c>
      <c r="D97" s="21">
        <f>D98+D99+D100+D101</f>
        <v>31015548.02</v>
      </c>
      <c r="E97" s="22">
        <f t="shared" si="8"/>
        <v>89.825224950796837</v>
      </c>
      <c r="F97" s="21">
        <f>F98+F99+F100+F101</f>
        <v>979000</v>
      </c>
      <c r="G97" s="21">
        <f>G98+G99+G100+G101</f>
        <v>1465134.31</v>
      </c>
      <c r="H97" s="22">
        <f t="shared" si="13"/>
        <v>149.65621144024516</v>
      </c>
      <c r="I97" s="21">
        <f>I98+I99+I100+I101</f>
        <v>35507773</v>
      </c>
      <c r="J97" s="21">
        <f>J98+J99+J100+J101</f>
        <v>32480682.329999998</v>
      </c>
      <c r="K97" s="22">
        <f t="shared" ref="K97:K106" si="31">J97/I97*100</f>
        <v>91.474850675653457</v>
      </c>
      <c r="L97" s="12">
        <f t="shared" si="10"/>
        <v>0</v>
      </c>
      <c r="N97" s="12"/>
    </row>
    <row r="98" spans="1:14" ht="84.75" customHeight="1">
      <c r="A98" s="23" t="s">
        <v>73</v>
      </c>
      <c r="B98" s="27" t="s">
        <v>51</v>
      </c>
      <c r="C98" s="25">
        <v>12262845</v>
      </c>
      <c r="D98" s="25">
        <v>10875509.710000001</v>
      </c>
      <c r="E98" s="26">
        <f t="shared" si="8"/>
        <v>88.686676786667377</v>
      </c>
      <c r="F98" s="25">
        <v>450000</v>
      </c>
      <c r="G98" s="25">
        <v>698678.72</v>
      </c>
      <c r="H98" s="26">
        <f t="shared" si="13"/>
        <v>155.26193777777777</v>
      </c>
      <c r="I98" s="25">
        <f t="shared" ref="I98:J101" si="32">C98+F98</f>
        <v>12712845</v>
      </c>
      <c r="J98" s="25">
        <f t="shared" si="32"/>
        <v>11574188.430000002</v>
      </c>
      <c r="K98" s="26">
        <f t="shared" si="31"/>
        <v>91.043259238982316</v>
      </c>
      <c r="L98" s="12">
        <f t="shared" si="10"/>
        <v>0</v>
      </c>
      <c r="N98" s="12"/>
    </row>
    <row r="99" spans="1:14" ht="133.5" customHeight="1">
      <c r="A99" s="23" t="s">
        <v>74</v>
      </c>
      <c r="B99" s="27" t="s">
        <v>52</v>
      </c>
      <c r="C99" s="25">
        <v>12696449</v>
      </c>
      <c r="D99" s="25">
        <v>11828885.27</v>
      </c>
      <c r="E99" s="26">
        <f t="shared" si="8"/>
        <v>93.166878943868468</v>
      </c>
      <c r="F99" s="25">
        <v>529000</v>
      </c>
      <c r="G99" s="25">
        <v>766455.59</v>
      </c>
      <c r="H99" s="26">
        <f t="shared" si="13"/>
        <v>144.88763516068053</v>
      </c>
      <c r="I99" s="25">
        <f t="shared" si="32"/>
        <v>13225449</v>
      </c>
      <c r="J99" s="25">
        <f t="shared" si="32"/>
        <v>12595340.859999999</v>
      </c>
      <c r="K99" s="26">
        <f t="shared" si="31"/>
        <v>95.235638956378722</v>
      </c>
      <c r="L99" s="12">
        <f t="shared" si="10"/>
        <v>0</v>
      </c>
      <c r="N99" s="12"/>
    </row>
    <row r="100" spans="1:14" ht="93.75" customHeight="1">
      <c r="A100" s="23" t="s">
        <v>75</v>
      </c>
      <c r="B100" s="27">
        <v>4070</v>
      </c>
      <c r="C100" s="25">
        <v>1432700</v>
      </c>
      <c r="D100" s="25">
        <v>1432700</v>
      </c>
      <c r="E100" s="26">
        <f t="shared" si="8"/>
        <v>100</v>
      </c>
      <c r="F100" s="25"/>
      <c r="G100" s="25"/>
      <c r="H100" s="26"/>
      <c r="I100" s="25">
        <f t="shared" si="32"/>
        <v>1432700</v>
      </c>
      <c r="J100" s="25">
        <f t="shared" si="32"/>
        <v>1432700</v>
      </c>
      <c r="K100" s="26">
        <f t="shared" si="31"/>
        <v>100</v>
      </c>
      <c r="L100" s="12">
        <f t="shared" si="10"/>
        <v>0</v>
      </c>
      <c r="N100" s="12"/>
    </row>
    <row r="101" spans="1:14" ht="104.25" customHeight="1">
      <c r="A101" s="23" t="s">
        <v>85</v>
      </c>
      <c r="B101" s="27">
        <v>4080</v>
      </c>
      <c r="C101" s="25">
        <f>3603663+4533116</f>
        <v>8136779</v>
      </c>
      <c r="D101" s="25">
        <f>3424024.66+3454428.38</f>
        <v>6878453.04</v>
      </c>
      <c r="E101" s="26">
        <f t="shared" si="8"/>
        <v>84.535330749427999</v>
      </c>
      <c r="F101" s="25"/>
      <c r="G101" s="25"/>
      <c r="H101" s="26"/>
      <c r="I101" s="25">
        <f t="shared" si="32"/>
        <v>8136779</v>
      </c>
      <c r="J101" s="25">
        <f t="shared" si="32"/>
        <v>6878453.04</v>
      </c>
      <c r="K101" s="26">
        <f t="shared" si="31"/>
        <v>84.535330749427999</v>
      </c>
      <c r="L101" s="12">
        <f t="shared" si="10"/>
        <v>0</v>
      </c>
      <c r="N101" s="12"/>
    </row>
    <row r="102" spans="1:14" s="11" customFormat="1" ht="74.25" customHeight="1">
      <c r="A102" s="19" t="s">
        <v>53</v>
      </c>
      <c r="B102" s="28" t="s">
        <v>54</v>
      </c>
      <c r="C102" s="21">
        <f>C103+C104+C105+C106</f>
        <v>39330902.630000003</v>
      </c>
      <c r="D102" s="21">
        <f>D103+D104+D105+D106</f>
        <v>35962532.979999997</v>
      </c>
      <c r="E102" s="22">
        <f t="shared" si="8"/>
        <v>91.435819102125677</v>
      </c>
      <c r="F102" s="21">
        <f>F103+F104+F105+F106</f>
        <v>0</v>
      </c>
      <c r="G102" s="21">
        <f>G103+G104+G105+G106</f>
        <v>817074.82</v>
      </c>
      <c r="H102" s="22"/>
      <c r="I102" s="21">
        <f>I103+I104+I105+I106</f>
        <v>39330902.630000003</v>
      </c>
      <c r="J102" s="21">
        <f>J103+J104+J105+J106</f>
        <v>36779607.799999997</v>
      </c>
      <c r="K102" s="22">
        <f t="shared" si="31"/>
        <v>93.513256347048639</v>
      </c>
      <c r="L102" s="12">
        <f t="shared" si="10"/>
        <v>0</v>
      </c>
      <c r="N102" s="12"/>
    </row>
    <row r="103" spans="1:14" ht="62.25" customHeight="1">
      <c r="A103" s="23" t="s">
        <v>55</v>
      </c>
      <c r="B103" s="27">
        <v>5010</v>
      </c>
      <c r="C103" s="25">
        <f>1291000+1923200</f>
        <v>3214200</v>
      </c>
      <c r="D103" s="25">
        <f>1171866.2+1865429</f>
        <v>3037295.2</v>
      </c>
      <c r="E103" s="26">
        <f t="shared" si="8"/>
        <v>94.496148341733573</v>
      </c>
      <c r="F103" s="25"/>
      <c r="G103" s="25"/>
      <c r="H103" s="22"/>
      <c r="I103" s="25">
        <f t="shared" ref="I103:J108" si="33">C103+F103</f>
        <v>3214200</v>
      </c>
      <c r="J103" s="25">
        <f t="shared" si="33"/>
        <v>3037295.2</v>
      </c>
      <c r="K103" s="26">
        <f t="shared" si="31"/>
        <v>94.496148341733573</v>
      </c>
      <c r="L103" s="12">
        <f t="shared" si="10"/>
        <v>0</v>
      </c>
      <c r="N103" s="12"/>
    </row>
    <row r="104" spans="1:14" ht="76.5" customHeight="1">
      <c r="A104" s="23" t="s">
        <v>58</v>
      </c>
      <c r="B104" s="27">
        <v>5020</v>
      </c>
      <c r="C104" s="25">
        <v>185400</v>
      </c>
      <c r="D104" s="25">
        <v>184393</v>
      </c>
      <c r="E104" s="26">
        <f t="shared" si="8"/>
        <v>99.45685005393743</v>
      </c>
      <c r="F104" s="25"/>
      <c r="G104" s="25"/>
      <c r="H104" s="22"/>
      <c r="I104" s="25">
        <f t="shared" si="33"/>
        <v>185400</v>
      </c>
      <c r="J104" s="25">
        <f t="shared" si="33"/>
        <v>184393</v>
      </c>
      <c r="K104" s="26">
        <f t="shared" si="31"/>
        <v>99.45685005393743</v>
      </c>
      <c r="L104" s="12">
        <f t="shared" si="10"/>
        <v>0</v>
      </c>
      <c r="N104" s="12"/>
    </row>
    <row r="105" spans="1:14" ht="80.25" customHeight="1">
      <c r="A105" s="23" t="s">
        <v>56</v>
      </c>
      <c r="B105" s="27">
        <v>5030</v>
      </c>
      <c r="C105" s="25">
        <v>35050582.630000003</v>
      </c>
      <c r="D105" s="25">
        <v>31963350.98</v>
      </c>
      <c r="E105" s="26">
        <f t="shared" si="8"/>
        <v>91.192067525412199</v>
      </c>
      <c r="F105" s="25"/>
      <c r="G105" s="25">
        <v>817074.82</v>
      </c>
      <c r="H105" s="22"/>
      <c r="I105" s="25">
        <f t="shared" si="33"/>
        <v>35050582.630000003</v>
      </c>
      <c r="J105" s="25">
        <f t="shared" si="33"/>
        <v>32780425.800000001</v>
      </c>
      <c r="K105" s="26">
        <f t="shared" si="31"/>
        <v>93.523198019376252</v>
      </c>
      <c r="L105" s="12">
        <f t="shared" si="10"/>
        <v>0</v>
      </c>
      <c r="N105" s="12"/>
    </row>
    <row r="106" spans="1:14" ht="98.25" customHeight="1">
      <c r="A106" s="23" t="s">
        <v>61</v>
      </c>
      <c r="B106" s="27">
        <v>5060</v>
      </c>
      <c r="C106" s="25">
        <v>880720</v>
      </c>
      <c r="D106" s="25">
        <v>777493.8</v>
      </c>
      <c r="E106" s="26">
        <f t="shared" si="8"/>
        <v>88.279339631210831</v>
      </c>
      <c r="F106" s="25"/>
      <c r="G106" s="25"/>
      <c r="H106" s="22"/>
      <c r="I106" s="25">
        <f t="shared" si="33"/>
        <v>880720</v>
      </c>
      <c r="J106" s="25">
        <f t="shared" si="33"/>
        <v>777493.8</v>
      </c>
      <c r="K106" s="26">
        <f t="shared" si="31"/>
        <v>88.279339631210831</v>
      </c>
      <c r="L106" s="12">
        <f t="shared" si="10"/>
        <v>0</v>
      </c>
      <c r="N106" s="12"/>
    </row>
    <row r="107" spans="1:14" s="11" customFormat="1" ht="70.5" customHeight="1">
      <c r="A107" s="19" t="s">
        <v>8</v>
      </c>
      <c r="B107" s="28" t="s">
        <v>57</v>
      </c>
      <c r="C107" s="21">
        <f>C108+C109+C110+C111</f>
        <v>463737634</v>
      </c>
      <c r="D107" s="21">
        <f>D108+D109+D110+D111</f>
        <v>456795529.27999997</v>
      </c>
      <c r="E107" s="22">
        <f t="shared" si="8"/>
        <v>98.503010277574319</v>
      </c>
      <c r="F107" s="21">
        <f>F108+F109+F110+F111</f>
        <v>19733021.850000001</v>
      </c>
      <c r="G107" s="21">
        <f>G108+G109+G110+G111</f>
        <v>16678513.259999998</v>
      </c>
      <c r="H107" s="22">
        <f t="shared" si="13"/>
        <v>84.52082700146606</v>
      </c>
      <c r="I107" s="21">
        <f>I108+I109+I110+I111</f>
        <v>483470655.85000002</v>
      </c>
      <c r="J107" s="21">
        <f>J108+J109+J110+J111</f>
        <v>473474042.53999996</v>
      </c>
      <c r="K107" s="22">
        <f t="shared" ref="K107:K110" si="34">J107/I107*100</f>
        <v>97.93232263653627</v>
      </c>
      <c r="L107" s="12">
        <f t="shared" si="10"/>
        <v>0</v>
      </c>
      <c r="N107" s="12"/>
    </row>
    <row r="108" spans="1:14" ht="132.75" customHeight="1">
      <c r="A108" s="23" t="s">
        <v>86</v>
      </c>
      <c r="B108" s="27">
        <v>6010</v>
      </c>
      <c r="C108" s="25">
        <f>2349639+192729246+118300000+650000+179749</f>
        <v>314208634</v>
      </c>
      <c r="D108" s="25">
        <f>2321028.01+192729246+118217123.89+648253+157830.4</f>
        <v>314073481.29999995</v>
      </c>
      <c r="E108" s="26">
        <f t="shared" si="8"/>
        <v>99.956986318841885</v>
      </c>
      <c r="F108" s="25">
        <f>1687500+5235000+949600</f>
        <v>7872100</v>
      </c>
      <c r="G108" s="25">
        <f>50000+5235000+937319.72</f>
        <v>6222319.7199999997</v>
      </c>
      <c r="H108" s="26">
        <f t="shared" si="13"/>
        <v>79.042691530849453</v>
      </c>
      <c r="I108" s="25">
        <f t="shared" si="33"/>
        <v>322080734</v>
      </c>
      <c r="J108" s="25">
        <f t="shared" si="33"/>
        <v>320295801.01999998</v>
      </c>
      <c r="K108" s="26">
        <f>J108/I108*100</f>
        <v>99.445811937326241</v>
      </c>
      <c r="L108" s="12">
        <f t="shared" si="10"/>
        <v>0</v>
      </c>
      <c r="N108" s="12"/>
    </row>
    <row r="109" spans="1:14" ht="99.75" customHeight="1">
      <c r="A109" s="23" t="s">
        <v>76</v>
      </c>
      <c r="B109" s="27">
        <v>6030</v>
      </c>
      <c r="C109" s="25">
        <v>139472875</v>
      </c>
      <c r="D109" s="25">
        <v>133535921.51000001</v>
      </c>
      <c r="E109" s="26">
        <f t="shared" si="8"/>
        <v>95.743291668720531</v>
      </c>
      <c r="F109" s="25">
        <v>10306000</v>
      </c>
      <c r="G109" s="25">
        <v>10273398</v>
      </c>
      <c r="H109" s="26">
        <f t="shared" si="13"/>
        <v>99.683660003881229</v>
      </c>
      <c r="I109" s="25">
        <f t="shared" ref="I109:I111" si="35">C109+F109</f>
        <v>149778875</v>
      </c>
      <c r="J109" s="25">
        <f t="shared" ref="J109:J111" si="36">D109+G109</f>
        <v>143809319.50999999</v>
      </c>
      <c r="K109" s="26">
        <f t="shared" si="34"/>
        <v>96.014420932190873</v>
      </c>
      <c r="L109" s="12">
        <f t="shared" si="10"/>
        <v>0</v>
      </c>
      <c r="N109" s="12"/>
    </row>
    <row r="110" spans="1:14" ht="109.5" customHeight="1">
      <c r="A110" s="23" t="s">
        <v>87</v>
      </c>
      <c r="B110" s="27">
        <v>6080</v>
      </c>
      <c r="C110" s="25">
        <f>60000+1000000</f>
        <v>1060000</v>
      </c>
      <c r="D110" s="25">
        <v>873363.92</v>
      </c>
      <c r="E110" s="26">
        <f t="shared" si="8"/>
        <v>82.39282264150944</v>
      </c>
      <c r="F110" s="25">
        <v>27600</v>
      </c>
      <c r="G110" s="25">
        <v>0</v>
      </c>
      <c r="H110" s="26">
        <f t="shared" si="13"/>
        <v>0</v>
      </c>
      <c r="I110" s="25">
        <f t="shared" si="35"/>
        <v>1087600</v>
      </c>
      <c r="J110" s="25">
        <f t="shared" si="36"/>
        <v>873363.92</v>
      </c>
      <c r="K110" s="26">
        <f t="shared" si="34"/>
        <v>80.301941890400883</v>
      </c>
      <c r="L110" s="12">
        <f t="shared" si="10"/>
        <v>0</v>
      </c>
      <c r="N110" s="12"/>
    </row>
    <row r="111" spans="1:14" ht="80.25" customHeight="1">
      <c r="A111" s="23" t="s">
        <v>77</v>
      </c>
      <c r="B111" s="27">
        <v>6090</v>
      </c>
      <c r="C111" s="25">
        <v>8996125</v>
      </c>
      <c r="D111" s="25">
        <v>8312762.5499999998</v>
      </c>
      <c r="E111" s="26">
        <f t="shared" si="8"/>
        <v>92.403813308507836</v>
      </c>
      <c r="F111" s="25">
        <v>1527321.85</v>
      </c>
      <c r="G111" s="25">
        <v>182795.54</v>
      </c>
      <c r="H111" s="26">
        <f t="shared" si="13"/>
        <v>11.96837064826906</v>
      </c>
      <c r="I111" s="25">
        <f t="shared" si="35"/>
        <v>10523446.85</v>
      </c>
      <c r="J111" s="25">
        <f t="shared" si="36"/>
        <v>8495558.0899999999</v>
      </c>
      <c r="K111" s="26">
        <f>J111/I111*100</f>
        <v>80.72980470272438</v>
      </c>
      <c r="L111" s="12">
        <f t="shared" si="10"/>
        <v>0</v>
      </c>
      <c r="N111" s="12"/>
    </row>
    <row r="112" spans="1:14" s="11" customFormat="1" ht="93" customHeight="1">
      <c r="A112" s="19" t="s">
        <v>78</v>
      </c>
      <c r="B112" s="28">
        <v>7000</v>
      </c>
      <c r="C112" s="21">
        <f>SUM(C113:C118)</f>
        <v>341106111.57999998</v>
      </c>
      <c r="D112" s="21">
        <f>SUM(D113:D118)</f>
        <v>323242404.19999999</v>
      </c>
      <c r="E112" s="22">
        <f t="shared" si="8"/>
        <v>94.763005770475502</v>
      </c>
      <c r="F112" s="21">
        <f>SUM(F113:F118)</f>
        <v>1034130500.6500001</v>
      </c>
      <c r="G112" s="21">
        <f>SUM(G113:G118)</f>
        <v>521216794.89999998</v>
      </c>
      <c r="H112" s="22">
        <f t="shared" si="13"/>
        <v>50.401452676658366</v>
      </c>
      <c r="I112" s="21">
        <f t="shared" ref="I112:J112" si="37">SUM(I113:I118)</f>
        <v>1375236612.23</v>
      </c>
      <c r="J112" s="21">
        <f t="shared" si="37"/>
        <v>844459199.10000002</v>
      </c>
      <c r="K112" s="22">
        <f>J112/I112*100</f>
        <v>61.404647868607597</v>
      </c>
      <c r="L112" s="12">
        <f t="shared" si="10"/>
        <v>0</v>
      </c>
      <c r="N112" s="12"/>
    </row>
    <row r="113" spans="1:14" ht="54" customHeight="1">
      <c r="A113" s="23" t="s">
        <v>92</v>
      </c>
      <c r="B113" s="27">
        <v>7130</v>
      </c>
      <c r="C113" s="25">
        <v>437800</v>
      </c>
      <c r="D113" s="25">
        <v>203999.6</v>
      </c>
      <c r="E113" s="26">
        <f t="shared" si="8"/>
        <v>46.59652809502056</v>
      </c>
      <c r="F113" s="25"/>
      <c r="G113" s="25"/>
      <c r="H113" s="26"/>
      <c r="I113" s="25">
        <f t="shared" ref="I113:I115" si="38">C113+F113</f>
        <v>437800</v>
      </c>
      <c r="J113" s="25">
        <f t="shared" ref="J113:J115" si="39">D113+G113</f>
        <v>203999.6</v>
      </c>
      <c r="K113" s="26">
        <f t="shared" ref="K113" si="40">J113/I113*100</f>
        <v>46.59652809502056</v>
      </c>
      <c r="L113" s="12">
        <f t="shared" si="10"/>
        <v>0</v>
      </c>
      <c r="N113" s="13"/>
    </row>
    <row r="114" spans="1:14" ht="54.75" customHeight="1">
      <c r="A114" s="23" t="s">
        <v>115</v>
      </c>
      <c r="B114" s="27">
        <v>7300</v>
      </c>
      <c r="C114" s="25">
        <f>49000+2195242</f>
        <v>2244242</v>
      </c>
      <c r="D114" s="25">
        <f>49000+1723210.72</f>
        <v>1772210.72</v>
      </c>
      <c r="E114" s="26">
        <f t="shared" si="8"/>
        <v>78.967006231948247</v>
      </c>
      <c r="F114" s="25">
        <f>20258846.21+147463803.86+12000000+238065.07+71814213+59948000+21280744</f>
        <v>333003672.13999999</v>
      </c>
      <c r="G114" s="25">
        <f>17537748.58+76567502.35+13525771.17+238065.07+5454348.51+57786599.48+20459192.5+2341651.72</f>
        <v>193910879.38</v>
      </c>
      <c r="H114" s="26">
        <f t="shared" si="13"/>
        <v>58.230853171636141</v>
      </c>
      <c r="I114" s="25">
        <f t="shared" si="38"/>
        <v>335247914.13999999</v>
      </c>
      <c r="J114" s="25">
        <f t="shared" si="39"/>
        <v>195683090.09999999</v>
      </c>
      <c r="K114" s="26">
        <f>J114/I114*100</f>
        <v>58.369666699337749</v>
      </c>
      <c r="L114" s="12">
        <f t="shared" si="10"/>
        <v>0</v>
      </c>
      <c r="N114" s="13"/>
    </row>
    <row r="115" spans="1:14" ht="73.5" customHeight="1">
      <c r="A115" s="23" t="s">
        <v>116</v>
      </c>
      <c r="B115" s="27">
        <v>7400</v>
      </c>
      <c r="C115" s="25">
        <f>183581580+12191267+134459268</f>
        <v>330232115</v>
      </c>
      <c r="D115" s="25">
        <f>183374767.17+12057596.92+120860189.54</f>
        <v>316292553.63</v>
      </c>
      <c r="E115" s="26">
        <f t="shared" si="8"/>
        <v>95.778859554589346</v>
      </c>
      <c r="F115" s="25">
        <f>903000+11836287</f>
        <v>12739287</v>
      </c>
      <c r="G115" s="25">
        <f>901860+9672528.24</f>
        <v>10574388.24</v>
      </c>
      <c r="H115" s="26">
        <f t="shared" si="13"/>
        <v>83.006123027136454</v>
      </c>
      <c r="I115" s="25">
        <f t="shared" si="38"/>
        <v>342971402</v>
      </c>
      <c r="J115" s="25">
        <f t="shared" si="39"/>
        <v>326866941.87</v>
      </c>
      <c r="K115" s="26">
        <f>J115/I115*100</f>
        <v>95.304430621302942</v>
      </c>
      <c r="L115" s="12">
        <f t="shared" si="10"/>
        <v>0</v>
      </c>
      <c r="N115" s="12"/>
    </row>
    <row r="116" spans="1:14" ht="58.5" customHeight="1">
      <c r="A116" s="23" t="s">
        <v>117</v>
      </c>
      <c r="B116" s="27">
        <v>7500</v>
      </c>
      <c r="C116" s="25">
        <v>874000</v>
      </c>
      <c r="D116" s="25">
        <v>244300</v>
      </c>
      <c r="E116" s="26">
        <f t="shared" si="8"/>
        <v>27.951945080091534</v>
      </c>
      <c r="F116" s="25">
        <v>126000</v>
      </c>
      <c r="G116" s="25">
        <v>119092.02</v>
      </c>
      <c r="H116" s="26">
        <f t="shared" si="13"/>
        <v>94.517476190476188</v>
      </c>
      <c r="I116" s="25">
        <f t="shared" ref="I116:I117" si="41">C116+F116</f>
        <v>1000000</v>
      </c>
      <c r="J116" s="25">
        <f t="shared" ref="J116:J117" si="42">D116+G116</f>
        <v>363392.02</v>
      </c>
      <c r="K116" s="26">
        <f>J116/I116*100</f>
        <v>36.339202</v>
      </c>
      <c r="L116" s="12">
        <f t="shared" si="10"/>
        <v>0</v>
      </c>
      <c r="N116" s="12"/>
    </row>
    <row r="117" spans="1:14" ht="80.25" customHeight="1">
      <c r="A117" s="23" t="s">
        <v>118</v>
      </c>
      <c r="B117" s="27">
        <v>7600</v>
      </c>
      <c r="C117" s="25">
        <f>150000+5911000+263878+935730</f>
        <v>7260608</v>
      </c>
      <c r="D117" s="25">
        <f>50000+3862205.67+263878+495910</f>
        <v>4671993.67</v>
      </c>
      <c r="E117" s="26">
        <f t="shared" si="8"/>
        <v>64.347141038326257</v>
      </c>
      <c r="F117" s="25">
        <f>153500000+150000+90000+208174490.34+3510230</f>
        <v>365424720.34000003</v>
      </c>
      <c r="G117" s="25">
        <f>19425+182399885.43+2886386.43</f>
        <v>185305696.86000001</v>
      </c>
      <c r="H117" s="26">
        <f t="shared" si="13"/>
        <v>50.709677409778706</v>
      </c>
      <c r="I117" s="25">
        <f t="shared" si="41"/>
        <v>372685328.34000003</v>
      </c>
      <c r="J117" s="25">
        <f t="shared" si="42"/>
        <v>189977690.53</v>
      </c>
      <c r="K117" s="26">
        <f t="shared" ref="K117" si="43">J117/I117*100</f>
        <v>50.975360735607964</v>
      </c>
      <c r="L117" s="12">
        <f t="shared" si="10"/>
        <v>0</v>
      </c>
      <c r="N117" s="12"/>
    </row>
    <row r="118" spans="1:14" ht="129.75" customHeight="1">
      <c r="A118" s="23" t="s">
        <v>114</v>
      </c>
      <c r="B118" s="27">
        <v>7700</v>
      </c>
      <c r="C118" s="25">
        <v>57346.58</v>
      </c>
      <c r="D118" s="25">
        <v>57346.58</v>
      </c>
      <c r="E118" s="26">
        <f t="shared" si="8"/>
        <v>100</v>
      </c>
      <c r="F118" s="25">
        <v>322836821.17000002</v>
      </c>
      <c r="G118" s="25">
        <v>131306738.40000001</v>
      </c>
      <c r="H118" s="26">
        <f t="shared" si="13"/>
        <v>40.672788786647189</v>
      </c>
      <c r="I118" s="25">
        <f t="shared" ref="I118:J122" si="44">C118+F118</f>
        <v>322894167.75</v>
      </c>
      <c r="J118" s="25">
        <f t="shared" ref="J118" si="45">D118+G118</f>
        <v>131364084.98</v>
      </c>
      <c r="K118" s="26">
        <f t="shared" ref="K118" si="46">J118/I118*100</f>
        <v>40.683325405155138</v>
      </c>
      <c r="L118" s="12">
        <f t="shared" si="10"/>
        <v>0</v>
      </c>
      <c r="N118" s="12"/>
    </row>
    <row r="119" spans="1:14" s="11" customFormat="1" ht="60.75" customHeight="1">
      <c r="A119" s="19" t="s">
        <v>79</v>
      </c>
      <c r="B119" s="28">
        <v>8000</v>
      </c>
      <c r="C119" s="21">
        <f>SUM(C120:C124)</f>
        <v>219447839.13</v>
      </c>
      <c r="D119" s="21">
        <f>SUM(D120:D124)</f>
        <v>93892798.780000001</v>
      </c>
      <c r="E119" s="22">
        <f t="shared" si="8"/>
        <v>42.785929974174088</v>
      </c>
      <c r="F119" s="21">
        <f>SUM(F120:F124)</f>
        <v>227173408</v>
      </c>
      <c r="G119" s="21">
        <f>SUM(G120:G124)</f>
        <v>223659453.23999998</v>
      </c>
      <c r="H119" s="22">
        <f t="shared" si="13"/>
        <v>98.453183939556865</v>
      </c>
      <c r="I119" s="21">
        <f>SUM(I120:I124)</f>
        <v>446621247.13</v>
      </c>
      <c r="J119" s="21">
        <f>SUM(J120:J124)</f>
        <v>317552252.01999992</v>
      </c>
      <c r="K119" s="22">
        <f t="shared" ref="K119:K122" si="47">J119/I119*100</f>
        <v>71.101017710330424</v>
      </c>
      <c r="L119" s="12">
        <f t="shared" si="10"/>
        <v>0</v>
      </c>
      <c r="N119" s="12"/>
    </row>
    <row r="120" spans="1:14" s="11" customFormat="1" ht="78.75" customHeight="1">
      <c r="A120" s="23" t="s">
        <v>119</v>
      </c>
      <c r="B120" s="27">
        <v>8100</v>
      </c>
      <c r="C120" s="25">
        <f>504000+3522340</f>
        <v>4026340</v>
      </c>
      <c r="D120" s="25">
        <f>134200.5+3270260.52</f>
        <v>3404461.02</v>
      </c>
      <c r="E120" s="26">
        <f t="shared" si="8"/>
        <v>84.554732585921712</v>
      </c>
      <c r="F120" s="21"/>
      <c r="G120" s="25"/>
      <c r="H120" s="22"/>
      <c r="I120" s="25">
        <f t="shared" si="44"/>
        <v>4026340</v>
      </c>
      <c r="J120" s="25">
        <f t="shared" si="44"/>
        <v>3404461.02</v>
      </c>
      <c r="K120" s="26">
        <f t="shared" si="47"/>
        <v>84.554732585921712</v>
      </c>
      <c r="L120" s="12">
        <f t="shared" si="10"/>
        <v>0</v>
      </c>
      <c r="N120" s="12"/>
    </row>
    <row r="121" spans="1:14" ht="60.75" customHeight="1">
      <c r="A121" s="23" t="s">
        <v>120</v>
      </c>
      <c r="B121" s="27">
        <v>8200</v>
      </c>
      <c r="C121" s="25">
        <f>5828602+89214761</f>
        <v>95043363</v>
      </c>
      <c r="D121" s="25">
        <f>5330838.28+81506122.53</f>
        <v>86836960.810000002</v>
      </c>
      <c r="E121" s="26">
        <f t="shared" si="8"/>
        <v>91.365623089326093</v>
      </c>
      <c r="F121" s="25">
        <v>225272808</v>
      </c>
      <c r="G121" s="25">
        <v>221952495.19999999</v>
      </c>
      <c r="H121" s="26">
        <f t="shared" si="13"/>
        <v>98.526092505581047</v>
      </c>
      <c r="I121" s="25">
        <f t="shared" si="44"/>
        <v>320316171</v>
      </c>
      <c r="J121" s="25">
        <f t="shared" si="44"/>
        <v>308789456.00999999</v>
      </c>
      <c r="K121" s="26">
        <f t="shared" si="47"/>
        <v>96.401457049759756</v>
      </c>
      <c r="L121" s="12">
        <f t="shared" si="10"/>
        <v>0</v>
      </c>
      <c r="N121" s="13"/>
    </row>
    <row r="122" spans="1:14" ht="78" customHeight="1">
      <c r="A122" s="23" t="s">
        <v>121</v>
      </c>
      <c r="B122" s="27">
        <v>8300</v>
      </c>
      <c r="C122" s="25">
        <f>1620000+101000+851136</f>
        <v>2572136</v>
      </c>
      <c r="D122" s="25">
        <f>1620000+101000+774865.42</f>
        <v>2495865.42</v>
      </c>
      <c r="E122" s="26">
        <f t="shared" si="8"/>
        <v>97.034737665504466</v>
      </c>
      <c r="F122" s="25">
        <v>1900600</v>
      </c>
      <c r="G122" s="25">
        <v>1706958.04</v>
      </c>
      <c r="H122" s="26">
        <f t="shared" si="13"/>
        <v>89.811535304640643</v>
      </c>
      <c r="I122" s="25">
        <f t="shared" si="44"/>
        <v>4472736</v>
      </c>
      <c r="J122" s="25">
        <f t="shared" si="44"/>
        <v>4202823.46</v>
      </c>
      <c r="K122" s="26">
        <f t="shared" si="47"/>
        <v>93.965381815515158</v>
      </c>
      <c r="L122" s="12">
        <f t="shared" si="10"/>
        <v>0</v>
      </c>
      <c r="N122" s="13"/>
    </row>
    <row r="123" spans="1:14" ht="56.25" customHeight="1">
      <c r="A123" s="23" t="s">
        <v>122</v>
      </c>
      <c r="B123" s="27">
        <v>8400</v>
      </c>
      <c r="C123" s="25">
        <v>1599640</v>
      </c>
      <c r="D123" s="25">
        <v>1155511.53</v>
      </c>
      <c r="E123" s="26">
        <f t="shared" si="8"/>
        <v>72.235723662824142</v>
      </c>
      <c r="F123" s="25"/>
      <c r="G123" s="25"/>
      <c r="H123" s="26"/>
      <c r="I123" s="25">
        <f t="shared" ref="I123" si="48">C123+F123</f>
        <v>1599640</v>
      </c>
      <c r="J123" s="25">
        <f t="shared" ref="J123" si="49">D123+G123</f>
        <v>1155511.53</v>
      </c>
      <c r="K123" s="26">
        <f t="shared" ref="K123:K125" si="50">J123/I123*100</f>
        <v>72.235723662824142</v>
      </c>
      <c r="L123" s="12">
        <f t="shared" si="10"/>
        <v>0</v>
      </c>
      <c r="N123" s="13"/>
    </row>
    <row r="124" spans="1:14" ht="58.5" customHeight="1">
      <c r="A124" s="23" t="s">
        <v>103</v>
      </c>
      <c r="B124" s="27">
        <v>8710</v>
      </c>
      <c r="C124" s="25">
        <v>116206360.13</v>
      </c>
      <c r="D124" s="25"/>
      <c r="E124" s="26">
        <f t="shared" si="8"/>
        <v>0</v>
      </c>
      <c r="F124" s="25"/>
      <c r="G124" s="25"/>
      <c r="H124" s="26"/>
      <c r="I124" s="25">
        <f t="shared" ref="I124" si="51">C124+F124</f>
        <v>116206360.13</v>
      </c>
      <c r="J124" s="25">
        <f t="shared" ref="J124" si="52">D124+G124</f>
        <v>0</v>
      </c>
      <c r="K124" s="26">
        <f t="shared" ref="K124" si="53">J124/I124*100</f>
        <v>0</v>
      </c>
      <c r="L124" s="12">
        <f t="shared" si="10"/>
        <v>0</v>
      </c>
      <c r="N124" s="12"/>
    </row>
    <row r="125" spans="1:14" s="11" customFormat="1" ht="54.75" customHeight="1">
      <c r="A125" s="19" t="s">
        <v>60</v>
      </c>
      <c r="B125" s="28">
        <v>9000</v>
      </c>
      <c r="C125" s="21">
        <f>C127+C128+C126</f>
        <v>62751677.200000003</v>
      </c>
      <c r="D125" s="21">
        <f>D127+D128+D126</f>
        <v>62454755.93</v>
      </c>
      <c r="E125" s="22">
        <f t="shared" si="8"/>
        <v>99.526831340214756</v>
      </c>
      <c r="F125" s="21">
        <f>F127+F128+F126</f>
        <v>46903745.93</v>
      </c>
      <c r="G125" s="21">
        <f>G127+G128+G126</f>
        <v>46789084.130000003</v>
      </c>
      <c r="H125" s="22">
        <f t="shared" si="13"/>
        <v>99.755538075421271</v>
      </c>
      <c r="I125" s="21">
        <f>+I127+I128+I126</f>
        <v>109655423.13</v>
      </c>
      <c r="J125" s="21">
        <f>+J127+J128+J126</f>
        <v>109243840.06</v>
      </c>
      <c r="K125" s="22">
        <f t="shared" si="50"/>
        <v>99.624657806926663</v>
      </c>
      <c r="L125" s="12">
        <f t="shared" ref="L125:L131" si="54">C125+F125-I125</f>
        <v>0</v>
      </c>
      <c r="N125" s="12"/>
    </row>
    <row r="126" spans="1:14" s="11" customFormat="1" ht="94.5" customHeight="1">
      <c r="A126" s="23" t="s">
        <v>151</v>
      </c>
      <c r="B126" s="27">
        <v>9750</v>
      </c>
      <c r="C126" s="21"/>
      <c r="D126" s="21"/>
      <c r="E126" s="22"/>
      <c r="F126" s="25">
        <v>5721737</v>
      </c>
      <c r="G126" s="25">
        <v>5721737</v>
      </c>
      <c r="H126" s="26">
        <f t="shared" si="13"/>
        <v>100</v>
      </c>
      <c r="I126" s="25">
        <f t="shared" ref="I126:J128" si="55">C126+F126</f>
        <v>5721737</v>
      </c>
      <c r="J126" s="25">
        <f t="shared" si="55"/>
        <v>5721737</v>
      </c>
      <c r="K126" s="26">
        <f>J126/I126*100</f>
        <v>100</v>
      </c>
      <c r="L126" s="12">
        <f t="shared" si="54"/>
        <v>0</v>
      </c>
      <c r="N126" s="12"/>
    </row>
    <row r="127" spans="1:14" ht="95.25" customHeight="1">
      <c r="A127" s="23" t="s">
        <v>62</v>
      </c>
      <c r="B127" s="27">
        <v>9770</v>
      </c>
      <c r="C127" s="25">
        <v>1942080</v>
      </c>
      <c r="D127" s="25">
        <v>1651044.67</v>
      </c>
      <c r="E127" s="26">
        <f t="shared" ref="E127:E131" si="56">D127/C127*100</f>
        <v>85.014246066073483</v>
      </c>
      <c r="F127" s="25"/>
      <c r="G127" s="25"/>
      <c r="H127" s="26"/>
      <c r="I127" s="25">
        <f t="shared" si="55"/>
        <v>1942080</v>
      </c>
      <c r="J127" s="25">
        <f t="shared" si="55"/>
        <v>1651044.67</v>
      </c>
      <c r="K127" s="26">
        <f>J127/I127*100</f>
        <v>85.014246066073483</v>
      </c>
      <c r="L127" s="12">
        <f t="shared" si="54"/>
        <v>0</v>
      </c>
      <c r="N127" s="12"/>
    </row>
    <row r="128" spans="1:14" ht="141" customHeight="1">
      <c r="A128" s="23" t="s">
        <v>104</v>
      </c>
      <c r="B128" s="27">
        <v>9800</v>
      </c>
      <c r="C128" s="25">
        <v>60809597.200000003</v>
      </c>
      <c r="D128" s="25">
        <v>60803711.259999998</v>
      </c>
      <c r="E128" s="26">
        <f t="shared" si="56"/>
        <v>99.990320705495478</v>
      </c>
      <c r="F128" s="25">
        <v>41182008.93</v>
      </c>
      <c r="G128" s="25">
        <v>41067347.130000003</v>
      </c>
      <c r="H128" s="26">
        <f t="shared" si="13"/>
        <v>99.721573077712407</v>
      </c>
      <c r="I128" s="25">
        <f t="shared" si="55"/>
        <v>101991606.13</v>
      </c>
      <c r="J128" s="25">
        <f t="shared" si="55"/>
        <v>101871058.39</v>
      </c>
      <c r="K128" s="26">
        <f>J128/I128*100</f>
        <v>99.881806214673844</v>
      </c>
      <c r="L128" s="12">
        <f t="shared" si="54"/>
        <v>0</v>
      </c>
      <c r="N128" s="12"/>
    </row>
    <row r="129" spans="1:18" s="11" customFormat="1" ht="69.75" customHeight="1">
      <c r="A129" s="30" t="s">
        <v>3</v>
      </c>
      <c r="B129" s="31"/>
      <c r="C129" s="21">
        <f>C60+C64+C81+C84+C97+C107+C112+C119+C125+C102</f>
        <v>3715769748.2199993</v>
      </c>
      <c r="D129" s="21">
        <f>D60+D64+D81+D84+D97+D107+D112+D119+D125+D102</f>
        <v>3443412383.1500001</v>
      </c>
      <c r="E129" s="22">
        <f t="shared" si="56"/>
        <v>92.670230301528534</v>
      </c>
      <c r="F129" s="21">
        <f>F60+F64+F81+F84+F97+F107+F112+F119+F125+F102</f>
        <v>1909482249.1600001</v>
      </c>
      <c r="G129" s="21">
        <f>G60+G64+G81+G84+G97+G107+G112+G119+G125+G102</f>
        <v>1397026346.49</v>
      </c>
      <c r="H129" s="22">
        <f t="shared" si="13"/>
        <v>73.162573106116355</v>
      </c>
      <c r="I129" s="21">
        <f>I60+I64+I81+I84+I97+I107+I112+I119+I125+I102</f>
        <v>5625251997.3800001</v>
      </c>
      <c r="J129" s="21">
        <f>J60+J64+J81+J84+J97+J107+J112+J119+J125+J102</f>
        <v>4840438729.6400003</v>
      </c>
      <c r="K129" s="22">
        <f>J129/I129*100</f>
        <v>86.048389154734181</v>
      </c>
      <c r="L129" s="12">
        <f t="shared" si="54"/>
        <v>0</v>
      </c>
      <c r="N129" s="12"/>
      <c r="R129" s="12"/>
    </row>
    <row r="130" spans="1:18" ht="66.75" customHeight="1">
      <c r="A130" s="32" t="s">
        <v>9</v>
      </c>
      <c r="B130" s="32"/>
      <c r="C130" s="25">
        <v>1000000</v>
      </c>
      <c r="D130" s="25"/>
      <c r="E130" s="26">
        <f t="shared" si="56"/>
        <v>0</v>
      </c>
      <c r="F130" s="25">
        <v>7400</v>
      </c>
      <c r="G130" s="25">
        <f>-721721.64</f>
        <v>-721721.64</v>
      </c>
      <c r="H130" s="26"/>
      <c r="I130" s="25">
        <f>SUM(C130+F130)</f>
        <v>1007400</v>
      </c>
      <c r="J130" s="25">
        <f>SUM(D130+G130)</f>
        <v>-721721.64</v>
      </c>
      <c r="K130" s="26"/>
      <c r="L130" s="12">
        <f t="shared" si="54"/>
        <v>0</v>
      </c>
    </row>
    <row r="131" spans="1:18" ht="68.25" customHeight="1">
      <c r="A131" s="32" t="s">
        <v>10</v>
      </c>
      <c r="B131" s="33"/>
      <c r="C131" s="25">
        <v>-390134363.91000003</v>
      </c>
      <c r="D131" s="25">
        <v>-666191611.55599999</v>
      </c>
      <c r="E131" s="26">
        <f t="shared" si="56"/>
        <v>170.75953137767775</v>
      </c>
      <c r="F131" s="25">
        <v>1218548466.1700001</v>
      </c>
      <c r="G131" s="25">
        <v>726286798.44000006</v>
      </c>
      <c r="H131" s="26"/>
      <c r="I131" s="25">
        <f>C131+F131</f>
        <v>828414102.25999999</v>
      </c>
      <c r="J131" s="25">
        <f>D131+G131</f>
        <v>60095186.884000063</v>
      </c>
      <c r="K131" s="26"/>
      <c r="L131" s="12">
        <f t="shared" si="54"/>
        <v>0</v>
      </c>
      <c r="N131" s="13"/>
    </row>
    <row r="132" spans="1:18" s="7" customFormat="1" ht="79.5" customHeight="1">
      <c r="A132" s="16"/>
      <c r="B132" s="17"/>
      <c r="C132" s="34"/>
      <c r="D132" s="34"/>
      <c r="E132" s="34"/>
      <c r="F132" s="34"/>
      <c r="G132" s="34"/>
      <c r="H132" s="34"/>
      <c r="I132" s="34"/>
      <c r="J132" s="34"/>
      <c r="K132" s="34"/>
      <c r="L132" s="6"/>
    </row>
    <row r="133" spans="1:18" ht="33.75" customHeight="1">
      <c r="A133" s="69" t="s">
        <v>88</v>
      </c>
      <c r="B133" s="69"/>
      <c r="C133" s="69"/>
      <c r="D133" s="38"/>
      <c r="E133" s="39"/>
      <c r="F133" s="38"/>
      <c r="G133" s="38"/>
      <c r="H133" s="39"/>
      <c r="I133" s="40"/>
      <c r="J133" s="40"/>
      <c r="K133" s="39"/>
    </row>
    <row r="134" spans="1:18" ht="4.5" hidden="1" customHeight="1">
      <c r="A134" s="69"/>
      <c r="B134" s="69"/>
      <c r="C134" s="69"/>
      <c r="D134" s="38"/>
      <c r="E134" s="39"/>
      <c r="F134" s="38"/>
      <c r="G134" s="38"/>
      <c r="H134" s="39"/>
      <c r="I134" s="38"/>
      <c r="J134" s="38"/>
      <c r="K134" s="39"/>
    </row>
    <row r="135" spans="1:18" ht="40.5">
      <c r="A135" s="41" t="s">
        <v>14</v>
      </c>
      <c r="B135" s="42"/>
      <c r="C135" s="54"/>
      <c r="D135" s="38"/>
      <c r="E135" s="39"/>
      <c r="F135" s="38"/>
      <c r="G135" s="38"/>
      <c r="H135" s="39"/>
      <c r="I135" s="68" t="s">
        <v>105</v>
      </c>
      <c r="J135" s="68"/>
      <c r="K135" s="39"/>
    </row>
    <row r="136" spans="1:18" ht="40.5">
      <c r="A136" s="41"/>
      <c r="B136" s="42"/>
      <c r="C136" s="43">
        <f>C61+C135-C133-C134</f>
        <v>220057931</v>
      </c>
      <c r="D136" s="38"/>
      <c r="E136" s="39"/>
      <c r="F136" s="38"/>
      <c r="G136" s="38"/>
      <c r="H136" s="39"/>
      <c r="I136" s="53"/>
      <c r="J136" s="53"/>
      <c r="K136" s="39"/>
    </row>
    <row r="137" spans="1:18" ht="19.5" customHeight="1">
      <c r="A137" s="44"/>
      <c r="B137" s="45"/>
      <c r="C137" s="46"/>
      <c r="D137" s="47"/>
      <c r="E137" s="48"/>
      <c r="F137" s="47"/>
      <c r="G137" s="47"/>
      <c r="H137" s="48"/>
      <c r="I137" s="52"/>
      <c r="J137" s="52"/>
      <c r="K137" s="48"/>
    </row>
    <row r="138" spans="1:18" ht="96.75" customHeight="1">
      <c r="A138" s="44" t="s">
        <v>36</v>
      </c>
      <c r="B138" s="45"/>
      <c r="C138" s="49"/>
      <c r="D138" s="49"/>
      <c r="E138" s="48"/>
      <c r="F138" s="49"/>
      <c r="G138" s="49"/>
      <c r="H138" s="48"/>
      <c r="I138" s="52" t="s">
        <v>137</v>
      </c>
      <c r="J138" s="52"/>
      <c r="K138" s="50"/>
    </row>
    <row r="139" spans="1:18" ht="23.25" customHeight="1">
      <c r="A139" s="66"/>
      <c r="B139" s="66"/>
      <c r="C139" s="66"/>
      <c r="D139" s="47"/>
      <c r="E139" s="48"/>
      <c r="F139" s="51"/>
      <c r="G139" s="47"/>
      <c r="H139" s="48"/>
      <c r="I139" s="67"/>
      <c r="J139" s="67"/>
      <c r="K139" s="67"/>
    </row>
    <row r="140" spans="1:18" ht="23.25">
      <c r="C140" s="13"/>
      <c r="D140" s="13"/>
      <c r="E140" s="13"/>
      <c r="F140" s="13"/>
      <c r="G140" s="13"/>
      <c r="H140" s="13"/>
      <c r="I140" s="13"/>
      <c r="J140" s="13"/>
      <c r="K140" s="10"/>
    </row>
    <row r="141" spans="1:18" ht="23.25">
      <c r="C141" s="8"/>
      <c r="D141" s="13"/>
      <c r="E141" s="10"/>
      <c r="F141" s="8"/>
      <c r="G141" s="13"/>
      <c r="H141" s="10"/>
      <c r="I141" s="8"/>
      <c r="J141" s="8"/>
      <c r="K141" s="10"/>
    </row>
    <row r="145" spans="3:10" ht="23.25">
      <c r="C145" s="13"/>
      <c r="D145" s="13"/>
      <c r="E145" s="13"/>
      <c r="F145" s="13"/>
      <c r="G145" s="13"/>
      <c r="H145" s="13"/>
      <c r="I145" s="13"/>
      <c r="J145" s="13"/>
    </row>
    <row r="151" spans="3:10" ht="23.25">
      <c r="C151" s="14"/>
      <c r="D151" s="14"/>
      <c r="E151" s="14"/>
      <c r="F151" s="14"/>
      <c r="G151" s="14"/>
      <c r="H151" s="14"/>
      <c r="I151" s="14"/>
      <c r="J151" s="14"/>
    </row>
  </sheetData>
  <mergeCells count="16">
    <mergeCell ref="I1:K1"/>
    <mergeCell ref="I3:K3"/>
    <mergeCell ref="A4:K4"/>
    <mergeCell ref="J5:K5"/>
    <mergeCell ref="C6:E6"/>
    <mergeCell ref="A139:C139"/>
    <mergeCell ref="I139:K139"/>
    <mergeCell ref="I135:J135"/>
    <mergeCell ref="A133:C134"/>
    <mergeCell ref="I2:K2"/>
    <mergeCell ref="F6:H6"/>
    <mergeCell ref="A9:K9"/>
    <mergeCell ref="A59:K59"/>
    <mergeCell ref="I6:K6"/>
    <mergeCell ref="A6:A7"/>
    <mergeCell ref="B6:B7"/>
  </mergeCells>
  <phoneticPr fontId="2" type="noConversion"/>
  <hyperlinks>
    <hyperlink ref="A33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2025-02-20T09:56:43Z</cp:lastPrinted>
  <dcterms:created xsi:type="dcterms:W3CDTF">2008-02-19T13:14:27Z</dcterms:created>
  <dcterms:modified xsi:type="dcterms:W3CDTF">2025-02-20T09:59:04Z</dcterms:modified>
</cp:coreProperties>
</file>